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4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'Лист3'!$A$1:$M$63</definedName>
    <definedName name="_xlnm.Print_Area" localSheetId="3">'Лист4'!$A$1:$L$53</definedName>
  </definedNames>
  <calcPr fullCalcOnLoad="1" iterate="1" iterateCount="1000" iterateDelta="0.0001"/>
</workbook>
</file>

<file path=xl/comments3.xml><?xml version="1.0" encoding="utf-8"?>
<comments xmlns="http://schemas.openxmlformats.org/spreadsheetml/2006/main">
  <authors>
    <author/>
  </authors>
  <commentList>
    <comment ref="B25" authorId="0">
      <text>
        <r>
          <rPr>
            <sz val="8"/>
            <color indexed="8"/>
            <rFont val="Tahoma"/>
            <family val="2"/>
          </rPr>
          <t>Для свай:
П.7.1.8 СП 50-102-2003: При расчете свай всех видов по прочности материала сваю следует рассматривать как
стержень, жестко защемленный в грунте в сечении, расположенном от подошвы ростверка на расстоянии не менее
l1=l0+2/</t>
        </r>
        <r>
          <rPr>
            <sz val="8"/>
            <color indexed="8"/>
            <rFont val="Times New Roman"/>
            <family val="1"/>
          </rPr>
          <t xml:space="preserve">αε, </t>
        </r>
        <r>
          <rPr>
            <sz val="10"/>
            <color indexed="8"/>
            <rFont val="Times New Roman"/>
            <family val="1"/>
          </rPr>
          <t xml:space="preserve">где l0 - длина участка сваи от подошвы высокого ростверка до уровня планировки; αε - коэффи-
циент деформации, 1/м, определяемый по приложению Д формула Д8. Если для буровых свай и свай-оболочек, заглубленных сквозь толщу нескального грунта и заделанных в скальный грунт, отношение
 2/αε&gt;h, то следует принимать l1=l0+h, где h-глубина погружения сваи от ее нижнего конца до уровня
планировки при высоком ростверке и до подошвы ростверка - при низком.
Для стоек : согласно табл. 20 п. 3.16* СНиП 2.05.03-84* и п.3.55 Пособия к СП 52-101-2003.
</t>
        </r>
        <r>
          <rPr>
            <sz val="8"/>
            <color indexed="8"/>
            <rFont val="Tahoma"/>
            <family val="2"/>
          </rPr>
          <t/>
        </r>
      </text>
    </comment>
    <comment ref="C29" authorId="0">
      <text>
        <r>
          <rPr>
            <sz val="8"/>
            <color indexed="8"/>
            <rFont val="Tahoma"/>
            <family val="2"/>
          </rPr>
          <t xml:space="preserve">См. пример 31 Пособия
к СП 52-101-2003
</t>
        </r>
      </text>
    </comment>
    <comment ref="A37" authorId="0">
      <text>
        <r>
          <rPr>
            <sz val="8"/>
            <color indexed="8"/>
            <rFont val="Tahoma"/>
            <family val="2"/>
          </rPr>
          <t xml:space="preserve">См. пример 31 Пособия
к СП 52-101-2003
</t>
        </r>
      </text>
    </comment>
    <comment ref="A45" authorId="0">
      <text>
        <r>
          <rPr>
            <sz val="8"/>
            <color indexed="8"/>
            <rFont val="Tahoma"/>
            <family val="2"/>
          </rPr>
          <t>Если в верхней строке &gt;1, надо ставить 1!</t>
        </r>
      </text>
    </comment>
    <comment ref="I45" authorId="0">
      <text>
        <r>
          <rPr>
            <sz val="8"/>
            <color indexed="8"/>
            <rFont val="Tahoma"/>
            <family val="2"/>
          </rPr>
          <t xml:space="preserve">Высота зоны взаимодействия, см, равная 3*d+as, 
откладывается от самого растянутого стержня в
сторону нейтр. оси. Не должна выходить за нейтр. ось
(не более 2*r-x!) 
</t>
        </r>
      </text>
    </comment>
    <comment ref="K45" authorId="0">
      <text>
        <r>
          <rPr>
            <sz val="8"/>
            <color indexed="8"/>
            <rFont val="Tahoma"/>
            <family val="2"/>
          </rPr>
          <t>Центральный угол, рад, ограничивающий
площадь зоны взаимодействия. Через
него вычисляется эта площадь.</t>
        </r>
      </text>
    </comment>
  </commentList>
</comments>
</file>

<file path=xl/sharedStrings.xml><?xml version="1.0" encoding="utf-8"?>
<sst xmlns="http://schemas.openxmlformats.org/spreadsheetml/2006/main" count="272" uniqueCount="249">
  <si>
    <t>РАСЧЕТ ПРОЧНОСТИ ИЗГИБАЕМЫХ ПРЯМОУГОЛЬНЫХ ЭЛЕМЕНТОВ С НЕНАПРЯГАЕМОЙ АРМАТУРОЙ СОГЛАСНО ПП.3.60* - 3.62*</t>
  </si>
  <si>
    <t>РАСЧЕТ ПО РАСКРЫТИЮ ТРЕЩИН СОГЛАСНО ПП.3.105, 3.109*, 3.110*</t>
  </si>
  <si>
    <t>Геометрические характеристики сечения.   Характеристики бетона и арматуры</t>
  </si>
  <si>
    <t xml:space="preserve">Радиус армиро-     вания Rr, см </t>
  </si>
  <si>
    <t>Ширина сечения b, м</t>
  </si>
  <si>
    <r>
      <t>коэфф.</t>
    </r>
    <r>
      <rPr>
        <sz val="10"/>
        <rFont val="Times New Roman"/>
        <family val="1"/>
      </rPr>
      <t>β</t>
    </r>
    <r>
      <rPr>
        <sz val="10"/>
        <rFont val="Arial"/>
        <family val="2"/>
      </rPr>
      <t xml:space="preserve"> табл. 41*</t>
    </r>
  </si>
  <si>
    <t>Высота сечения h, м</t>
  </si>
  <si>
    <r>
      <t xml:space="preserve">коэф.раскр.трещ. </t>
    </r>
    <r>
      <rPr>
        <sz val="10"/>
        <rFont val="Times New Roman"/>
        <family val="1"/>
      </rPr>
      <t>Ψ</t>
    </r>
  </si>
  <si>
    <t>Призменная прочность Rb, МПа</t>
  </si>
  <si>
    <t>Класс бетона В</t>
  </si>
  <si>
    <t>Модуль упр.Е, Мпа</t>
  </si>
  <si>
    <t>Расчетное сопротивление арматуры Rs и Rsc, МПа</t>
  </si>
  <si>
    <t>Нормативный момент, т*м</t>
  </si>
  <si>
    <t>Армирование элемента</t>
  </si>
  <si>
    <r>
      <t>Напряж. в растя-нутой арм.</t>
    </r>
    <r>
      <rPr>
        <sz val="10"/>
        <rFont val="Times New Roman"/>
        <family val="1"/>
      </rPr>
      <t>σ</t>
    </r>
    <r>
      <rPr>
        <sz val="10"/>
        <rFont val="Arial"/>
        <family val="2"/>
      </rPr>
      <t>s, Мпа</t>
    </r>
  </si>
  <si>
    <t>Диаметр стержней арматуры растянутой зоны, мм</t>
  </si>
  <si>
    <t>Ширина раскрытия трещин acr, см</t>
  </si>
  <si>
    <r>
      <t>≤</t>
    </r>
    <r>
      <rPr>
        <sz val="10"/>
        <rFont val="Arial"/>
        <family val="2"/>
      </rPr>
      <t>0.030 см</t>
    </r>
  </si>
  <si>
    <t>Число стержней арматуры растянутой зоны</t>
  </si>
  <si>
    <t>as, мм</t>
  </si>
  <si>
    <t>As, м2</t>
  </si>
  <si>
    <t>Диаметр стержней арматуры сжатой зоны, мм</t>
  </si>
  <si>
    <t>Число стержней арматуры   сжатой зоны</t>
  </si>
  <si>
    <t>as', мм</t>
  </si>
  <si>
    <t>As', м2</t>
  </si>
  <si>
    <r>
      <t xml:space="preserve">Относительная высота сжатой зоны </t>
    </r>
    <r>
      <rPr>
        <sz val="10"/>
        <rFont val="Times New Roman"/>
        <family val="1"/>
      </rPr>
      <t>ζ</t>
    </r>
    <r>
      <rPr>
        <sz val="10"/>
        <rFont val="Arial"/>
        <family val="2"/>
      </rPr>
      <t>y</t>
    </r>
  </si>
  <si>
    <r>
      <t xml:space="preserve">должно быть </t>
    </r>
    <r>
      <rPr>
        <sz val="10"/>
        <rFont val="Times New Roman"/>
        <family val="1"/>
      </rPr>
      <t>≥ ζ=х/h</t>
    </r>
    <r>
      <rPr>
        <sz val="8"/>
        <rFont val="Times New Roman"/>
        <family val="1"/>
      </rPr>
      <t>0=</t>
    </r>
  </si>
  <si>
    <t>Высота сжатой зоны х, мм с учетом сжатой арматуры</t>
  </si>
  <si>
    <t>Высота сжатой зоны х, мм без учета сжатой арматуры</t>
  </si>
  <si>
    <t>Принятая высота сжатой зоны х, м</t>
  </si>
  <si>
    <t>ПРЕДЕЛЬНЫЙ ИЗГИБАЮЩИЙ МОМЕНТ</t>
  </si>
  <si>
    <t>М=</t>
  </si>
  <si>
    <t>РАСЧЕТ ПО ПОПЕРЕЧНОЙ СИЛЕ СОГЛАСНО ПП.3.77*-3.79*</t>
  </si>
  <si>
    <r>
      <t>Проверка условия Q</t>
    </r>
    <r>
      <rPr>
        <sz val="10"/>
        <rFont val="Times New Roman"/>
        <family val="1"/>
      </rPr>
      <t>≤</t>
    </r>
    <r>
      <rPr>
        <sz val="10"/>
        <rFont val="Arial"/>
        <family val="2"/>
      </rPr>
      <t>0.3*</t>
    </r>
    <r>
      <rPr>
        <sz val="10"/>
        <rFont val="Times New Roman"/>
        <family val="1"/>
      </rPr>
      <t>φw1*φb1*Rb*b*h0</t>
    </r>
  </si>
  <si>
    <t>Хомуты нормальны к продольной оси? 1/0</t>
  </si>
  <si>
    <t>Призменная прочность Rb, Мпа</t>
  </si>
  <si>
    <t>Rsw, Мпа</t>
  </si>
  <si>
    <t>Модуль упругости арматуры Es, Мпа</t>
  </si>
  <si>
    <t>Модуль упругости бетона     Eb, Мпа</t>
  </si>
  <si>
    <t>Диаметр хомутов, мм</t>
  </si>
  <si>
    <t>Число хомутов (пар стержней), расположенных в одной плоскости</t>
  </si>
  <si>
    <t>Шаг хомутов, мм</t>
  </si>
  <si>
    <t>Толщина стенки b, мм</t>
  </si>
  <si>
    <r>
      <t>φw1=1+</t>
    </r>
    <r>
      <rPr>
        <sz val="10"/>
        <rFont val="Times New Roman"/>
        <family val="1"/>
      </rPr>
      <t>η*n1*μw</t>
    </r>
  </si>
  <si>
    <r>
      <t>должно быть</t>
    </r>
    <r>
      <rPr>
        <sz val="10"/>
        <rFont val="Times New Roman"/>
        <family val="1"/>
      </rPr>
      <t>≤</t>
    </r>
  </si>
  <si>
    <t>1.3 при В3=1</t>
  </si>
  <si>
    <t>Рабочая высота сечения ho, м</t>
  </si>
  <si>
    <t>Qmax={т}</t>
  </si>
  <si>
    <r>
      <t>должно быть</t>
    </r>
    <r>
      <rPr>
        <sz val="10"/>
        <rFont val="Times New Roman"/>
        <family val="1"/>
      </rPr>
      <t>≥</t>
    </r>
  </si>
  <si>
    <t>Q={т}</t>
  </si>
  <si>
    <t xml:space="preserve">РАСЧЕТ НАКЛОННОГО СЕЧЕНИЯ НА ДЕЙСТВИЕ ПОПЕРЕЧНОЙ СИЛЫ </t>
  </si>
  <si>
    <t>Rbt, Мпа</t>
  </si>
  <si>
    <t>Rb,sh, Мпа</t>
  </si>
  <si>
    <t>Нормативное Q, т</t>
  </si>
  <si>
    <t>Длина проекции невыгодней-   шего наклонного сечения С,м</t>
  </si>
  <si>
    <r>
      <t>≤</t>
    </r>
    <r>
      <rPr>
        <sz val="10"/>
        <rFont val="Arial"/>
        <family val="2"/>
      </rPr>
      <t>2ho=</t>
    </r>
  </si>
  <si>
    <r>
      <t xml:space="preserve">Скалывающее напряжение от нормативной нагрузки </t>
    </r>
    <r>
      <rPr>
        <sz val="10"/>
        <rFont val="Times New Roman"/>
        <family val="1"/>
      </rPr>
      <t>τ</t>
    </r>
    <r>
      <rPr>
        <sz val="10"/>
        <rFont val="Arial"/>
        <family val="2"/>
      </rPr>
      <t>q, Мпа</t>
    </r>
  </si>
  <si>
    <t>2*Rbt*b*ho^2/c, т</t>
  </si>
  <si>
    <t>m=</t>
  </si>
  <si>
    <t>m*Rbt*b*ho, т</t>
  </si>
  <si>
    <t>Qb, т</t>
  </si>
  <si>
    <r>
      <t>Σ</t>
    </r>
    <r>
      <rPr>
        <sz val="10"/>
        <rFont val="Arial"/>
        <family val="2"/>
      </rPr>
      <t>RswAsw, т</t>
    </r>
  </si>
  <si>
    <r>
      <t>Qпред=Qb+</t>
    </r>
    <r>
      <rPr>
        <sz val="10"/>
        <rFont val="Times New Roman"/>
        <family val="1"/>
      </rPr>
      <t>Σ</t>
    </r>
    <r>
      <rPr>
        <sz val="10"/>
        <rFont val="Arial"/>
        <family val="2"/>
      </rPr>
      <t>RswAsw</t>
    </r>
  </si>
  <si>
    <r>
      <t>1/2*h</t>
    </r>
    <r>
      <rPr>
        <sz val="8"/>
        <rFont val="Arial"/>
        <family val="2"/>
      </rPr>
      <t>0</t>
    </r>
  </si>
  <si>
    <r>
      <t>h</t>
    </r>
    <r>
      <rPr>
        <sz val="8"/>
        <rFont val="Arial"/>
        <family val="2"/>
      </rPr>
      <t>0</t>
    </r>
  </si>
  <si>
    <r>
      <t>3/2*h</t>
    </r>
    <r>
      <rPr>
        <sz val="8"/>
        <rFont val="Arial"/>
        <family val="2"/>
      </rPr>
      <t>0</t>
    </r>
  </si>
  <si>
    <r>
      <t>2*h</t>
    </r>
    <r>
      <rPr>
        <sz val="8"/>
        <rFont val="Arial"/>
        <family val="2"/>
      </rPr>
      <t>0</t>
    </r>
  </si>
  <si>
    <t>РАСЧЕТ ПРОЧНОСТИ И ТРЕЩИНОСТОЙКОСТИ КРУГЛЫХ СЕЧЕНИЙ Ж/Б ЭЛЕМЕНТОВ НА ВНЕЦЕНТРЕННОЕ СЖАТИЕ ПО СНИП 2.05.03-84* "МОСТЫ И ТРУБЫ" И "ПОСОБИЮ..." К СП 52.101.2003</t>
  </si>
  <si>
    <r>
      <t xml:space="preserve">ОПРЕДЕЛЕНИЕ ОТНОСИТЕЛЬНОЙ ПЛОЩАДИ СЖАТОЙ ЗОНЫ БЕТОНА </t>
    </r>
    <r>
      <rPr>
        <sz val="10"/>
        <rFont val="Times New Roman"/>
        <family val="1"/>
      </rPr>
      <t>ζ</t>
    </r>
    <r>
      <rPr>
        <sz val="10"/>
        <rFont val="Arial"/>
        <family val="2"/>
      </rPr>
      <t>cir</t>
    </r>
  </si>
  <si>
    <t>Ячейки, куда вносятся исходные данные, обозначены этим цветом</t>
  </si>
  <si>
    <t>РАСЧЕТНЫЕ:</t>
  </si>
  <si>
    <t>Rb,Мпа</t>
  </si>
  <si>
    <t>Ab, м2</t>
  </si>
  <si>
    <t>Rs, Мпа</t>
  </si>
  <si>
    <t>Диаметр стержней, см</t>
  </si>
  <si>
    <t>Число стержней, шт</t>
  </si>
  <si>
    <t>As,tot, м2</t>
  </si>
  <si>
    <t>Шаг стержней, см</t>
  </si>
  <si>
    <t>N, МН</t>
  </si>
  <si>
    <t>расчетное прод.усилие</t>
  </si>
  <si>
    <r>
      <t>0.77*Rb*Ab+0.645*Rs*As,tot</t>
    </r>
    <r>
      <rPr>
        <sz val="10"/>
        <rFont val="Times New Roman"/>
        <family val="1"/>
      </rPr>
      <t>≥</t>
    </r>
    <r>
      <rPr>
        <sz val="10"/>
        <rFont val="Arial"/>
        <family val="2"/>
      </rPr>
      <t>N</t>
    </r>
  </si>
  <si>
    <t>A=(Rb*Ab+2.55*Rs*As,tot)</t>
  </si>
  <si>
    <t>B=N</t>
  </si>
  <si>
    <r>
      <t>C=Rb*Ab/(2</t>
    </r>
    <r>
      <rPr>
        <sz val="10"/>
        <rFont val="Times New Roman"/>
        <family val="1"/>
      </rPr>
      <t>π</t>
    </r>
    <r>
      <rPr>
        <sz val="10"/>
        <rFont val="Arial"/>
        <family val="2"/>
      </rPr>
      <t>)</t>
    </r>
  </si>
  <si>
    <r>
      <t>sin(2</t>
    </r>
    <r>
      <rPr>
        <sz val="10"/>
        <rFont val="Times New Roman"/>
        <family val="1"/>
      </rPr>
      <t>πζ) подборочный &gt;</t>
    </r>
    <r>
      <rPr>
        <b/>
        <sz val="10"/>
        <rFont val="Times New Roman"/>
        <family val="1"/>
      </rPr>
      <t>0</t>
    </r>
  </si>
  <si>
    <t>Радиус бетон-ного сеч., м</t>
  </si>
  <si>
    <t>РАСЧЕТ НА ОБРАЗОВАНИЕ ПРОДОЛЬНЫХ ТРЕЩИН СОГЛАСНО П.3.100* СНИП "МОСТЫ И ТРУБЫ"</t>
  </si>
  <si>
    <t>2πζ подборочный</t>
  </si>
  <si>
    <r>
      <t xml:space="preserve">ζ </t>
    </r>
    <r>
      <rPr>
        <sz val="10"/>
        <rFont val="Arial"/>
        <family val="2"/>
      </rPr>
      <t>подборочный</t>
    </r>
  </si>
  <si>
    <r>
      <t>ζ</t>
    </r>
    <r>
      <rPr>
        <sz val="10"/>
        <rFont val="Arial"/>
        <family val="2"/>
      </rPr>
      <t>=(N+RsAs,tot+RbAb*sin(2πζ)/2</t>
    </r>
    <r>
      <rPr>
        <sz val="10"/>
        <rFont val="Times New Roman"/>
        <family val="1"/>
      </rPr>
      <t>π</t>
    </r>
    <r>
      <rPr>
        <sz val="10"/>
        <rFont val="Arial"/>
        <family val="2"/>
      </rPr>
      <t>)/ (RbAb+2.55*RsAs,tot)</t>
    </r>
  </si>
  <si>
    <t>Радиус арми-рования, м</t>
  </si>
  <si>
    <t>Коэфф. отношения модулей упругости согласно п.3.48*</t>
  </si>
  <si>
    <r>
      <t xml:space="preserve">Нормальное сжимаю-  щее напряжение </t>
    </r>
    <r>
      <rPr>
        <sz val="14"/>
        <rFont val="Times New Roman"/>
        <family val="1"/>
      </rPr>
      <t>σ</t>
    </r>
    <r>
      <rPr>
        <sz val="10"/>
        <rFont val="Arial"/>
        <family val="2"/>
      </rPr>
      <t>bx=, Мпа</t>
    </r>
  </si>
  <si>
    <r>
      <t>≤</t>
    </r>
    <r>
      <rPr>
        <sz val="10"/>
        <rFont val="Arial"/>
        <family val="2"/>
      </rPr>
      <t>Rb,mc2</t>
    </r>
  </si>
  <si>
    <t>Принятое значение sin(πζ)=Х</t>
  </si>
  <si>
    <t>То же, по прочности</t>
  </si>
  <si>
    <t>Принятое значение sin(2πζ)=Y</t>
  </si>
  <si>
    <t>Принятое значение ζ</t>
  </si>
  <si>
    <t>РАСЧЕТ ВЫСОТЫ СЖАТОЙ ЗОНЫ И ГЕОМ. ХАРАКТЕРИСТИК ПО II ГРУППЕ СОГЛАСНО СП52-101-2003 И ПОСОБИЯ К НЕМУ</t>
  </si>
  <si>
    <r>
      <t>ОПРЕДЕЛЕНИЕ e</t>
    </r>
    <r>
      <rPr>
        <sz val="8"/>
        <rFont val="Arial"/>
        <family val="2"/>
      </rPr>
      <t xml:space="preserve">c, </t>
    </r>
    <r>
      <rPr>
        <sz val="10"/>
        <rFont val="Arial"/>
        <family val="2"/>
      </rPr>
      <t xml:space="preserve">Ncr и </t>
    </r>
    <r>
      <rPr>
        <sz val="10"/>
        <rFont val="Times New Roman"/>
        <family val="1"/>
      </rPr>
      <t>η</t>
    </r>
  </si>
  <si>
    <t>Nнорм, МН</t>
  </si>
  <si>
    <t>Эксцентриситет:</t>
  </si>
  <si>
    <t>ЕСЛИ X&gt;=R=, м</t>
  </si>
  <si>
    <t>Eb, Мпа</t>
  </si>
  <si>
    <t>Mнорм, МН*м</t>
  </si>
  <si>
    <t>f=, м</t>
  </si>
  <si>
    <t>Es, Мпа</t>
  </si>
  <si>
    <t>e=M/N+rs</t>
  </si>
  <si>
    <t>b=, м</t>
  </si>
  <si>
    <r>
      <t>Расчетная длина l</t>
    </r>
    <r>
      <rPr>
        <sz val="8"/>
        <rFont val="Arial"/>
        <family val="2"/>
      </rPr>
      <t>o</t>
    </r>
    <r>
      <rPr>
        <sz val="10"/>
        <rFont val="Arial"/>
        <family val="2"/>
      </rPr>
      <t xml:space="preserve"> по п.3.16, м</t>
    </r>
  </si>
  <si>
    <t>ho=r+rs</t>
  </si>
  <si>
    <t>Y1=, м</t>
  </si>
  <si>
    <t>Радиус бетонного сечения r, м</t>
  </si>
  <si>
    <t>Угол β, град</t>
  </si>
  <si>
    <t>ПРИНЯТОЕ ЗНАЧЕНИЕ Х, М</t>
  </si>
  <si>
    <t>Fбет=, м^2</t>
  </si>
  <si>
    <r>
      <t>Ib=</t>
    </r>
    <r>
      <rPr>
        <sz val="10"/>
        <rFont val="Times New Roman"/>
        <family val="1"/>
      </rPr>
      <t>π</t>
    </r>
    <r>
      <rPr>
        <sz val="10"/>
        <rFont val="Arial"/>
        <family val="2"/>
      </rPr>
      <t>*r</t>
    </r>
    <r>
      <rPr>
        <sz val="10"/>
        <rFont val="Times New Roman"/>
        <family val="1"/>
      </rPr>
      <t>^</t>
    </r>
    <r>
      <rPr>
        <sz val="10"/>
        <rFont val="Arial"/>
        <family val="2"/>
      </rPr>
      <t>4/4</t>
    </r>
  </si>
  <si>
    <t>Угол β, рад</t>
  </si>
  <si>
    <t>Sнейтр.бет.=, м^3</t>
  </si>
  <si>
    <r>
      <t>Радиус армирования r</t>
    </r>
    <r>
      <rPr>
        <sz val="8"/>
        <rFont val="Arial"/>
        <family val="2"/>
      </rPr>
      <t>s, м</t>
    </r>
  </si>
  <si>
    <t>ЕСЛИ Х&lt;R=, м</t>
  </si>
  <si>
    <t>Jнейтр.бет.=, м^4</t>
  </si>
  <si>
    <t>Момент от действия только постоянной нагрузки Ml', МН*м</t>
  </si>
  <si>
    <r>
      <t xml:space="preserve">Не путать с Ml и М в формуле определения </t>
    </r>
    <r>
      <rPr>
        <sz val="10"/>
        <rFont val="Times New Roman"/>
        <family val="1"/>
      </rPr>
      <t>φ</t>
    </r>
    <r>
      <rPr>
        <sz val="10"/>
        <rFont val="Arial"/>
        <family val="2"/>
      </rPr>
      <t>l! Ml(M)=Ml'(M)+Nl(N)*rs!</t>
    </r>
  </si>
  <si>
    <t>φ=</t>
  </si>
  <si>
    <t>Если погрешность велика, вручную:</t>
  </si>
  <si>
    <t>Sred=, м^3</t>
  </si>
  <si>
    <t>Момент от действия всех нагрузок M', МН*м</t>
  </si>
  <si>
    <t>Прод.сила от   пост.нагр.Nl</t>
  </si>
  <si>
    <t>k=</t>
  </si>
  <si>
    <t>Jred=, м^4</t>
  </si>
  <si>
    <r>
      <t>φ</t>
    </r>
    <r>
      <rPr>
        <sz val="10"/>
        <rFont val="Arial"/>
        <family val="2"/>
      </rPr>
      <t>l=1+Ml/M</t>
    </r>
  </si>
  <si>
    <t>Примечание. Если точность определения Х выполняется только при оч.малом Х, сечение нерационально.</t>
  </si>
  <si>
    <t>Jred/Sred=e-(ho-x)</t>
  </si>
  <si>
    <r>
      <t>e</t>
    </r>
    <r>
      <rPr>
        <sz val="8"/>
        <rFont val="Arial"/>
        <family val="2"/>
      </rPr>
      <t>c</t>
    </r>
    <r>
      <rPr>
        <sz val="10"/>
        <rFont val="Arial"/>
        <family val="2"/>
      </rPr>
      <t>=M/N+l</t>
    </r>
    <r>
      <rPr>
        <sz val="8"/>
        <rFont val="Arial"/>
        <family val="2"/>
      </rPr>
      <t>o</t>
    </r>
    <r>
      <rPr>
        <sz val="10"/>
        <rFont val="Arial"/>
        <family val="2"/>
      </rPr>
      <t>/400, м</t>
    </r>
  </si>
  <si>
    <t>должно быть ≥ r =, м</t>
  </si>
  <si>
    <t>Принятое Sred</t>
  </si>
  <si>
    <r>
      <t>δ</t>
    </r>
    <r>
      <rPr>
        <sz val="10"/>
        <rFont val="Arial"/>
        <family val="2"/>
      </rPr>
      <t>min=0.5-0.01*l</t>
    </r>
    <r>
      <rPr>
        <sz val="8"/>
        <rFont val="Arial"/>
        <family val="2"/>
      </rPr>
      <t>o</t>
    </r>
    <r>
      <rPr>
        <sz val="10"/>
        <rFont val="Arial"/>
        <family val="2"/>
      </rPr>
      <t>/2r-0.01*Rb</t>
    </r>
  </si>
  <si>
    <r>
      <t xml:space="preserve">Для расчета </t>
    </r>
    <r>
      <rPr>
        <sz val="10"/>
        <rFont val="Times New Roman"/>
        <family val="1"/>
      </rPr>
      <t>σ</t>
    </r>
    <r>
      <rPr>
        <sz val="10"/>
        <rFont val="Arial"/>
        <family val="2"/>
      </rPr>
      <t>bx:</t>
    </r>
  </si>
  <si>
    <r>
      <t>δ=e</t>
    </r>
    <r>
      <rPr>
        <sz val="8"/>
        <rFont val="Times New Roman"/>
        <family val="1"/>
      </rPr>
      <t>c</t>
    </r>
    <r>
      <rPr>
        <sz val="10"/>
        <rFont val="Times New Roman"/>
        <family val="1"/>
      </rPr>
      <t>/2r≥δmin</t>
    </r>
  </si>
  <si>
    <t>Уц.т._верх=, м</t>
  </si>
  <si>
    <r>
      <t xml:space="preserve">принятое </t>
    </r>
    <r>
      <rPr>
        <sz val="10"/>
        <rFont val="Times New Roman"/>
        <family val="1"/>
      </rPr>
      <t>δ</t>
    </r>
  </si>
  <si>
    <t>Принятое Fred</t>
  </si>
  <si>
    <r>
      <t>m=(0.11/(0.1+</t>
    </r>
    <r>
      <rPr>
        <sz val="10"/>
        <rFont val="Times New Roman"/>
        <family val="1"/>
      </rPr>
      <t>δ</t>
    </r>
    <r>
      <rPr>
        <sz val="10"/>
        <rFont val="Arial"/>
        <family val="2"/>
      </rPr>
      <t>)+0.1)</t>
    </r>
  </si>
  <si>
    <t>Принятый Jred(ц.т.)</t>
  </si>
  <si>
    <r>
      <t>n=n1*Is=n1*As,tot*r</t>
    </r>
    <r>
      <rPr>
        <sz val="8"/>
        <rFont val="Arial"/>
        <family val="2"/>
      </rPr>
      <t>s</t>
    </r>
    <r>
      <rPr>
        <sz val="10"/>
        <rFont val="Arial"/>
        <family val="2"/>
      </rPr>
      <t>^2/2</t>
    </r>
  </si>
  <si>
    <r>
      <t>Ncr=(6.4Eb/l</t>
    </r>
    <r>
      <rPr>
        <sz val="8"/>
        <rFont val="Arial"/>
        <family val="2"/>
      </rPr>
      <t>o</t>
    </r>
    <r>
      <rPr>
        <sz val="10"/>
        <rFont val="Arial"/>
        <family val="2"/>
      </rPr>
      <t>^2)*(Ib*m/</t>
    </r>
    <r>
      <rPr>
        <sz val="10"/>
        <rFont val="Times New Roman"/>
        <family val="1"/>
      </rPr>
      <t>φ</t>
    </r>
    <r>
      <rPr>
        <sz val="10"/>
        <rFont val="Arial"/>
        <family val="2"/>
      </rPr>
      <t>l+n)</t>
    </r>
    <r>
      <rPr>
        <sz val="10"/>
        <rFont val="Times New Roman"/>
        <family val="1"/>
      </rPr>
      <t>≥</t>
    </r>
    <r>
      <rPr>
        <sz val="10"/>
        <rFont val="Arial"/>
        <family val="2"/>
      </rPr>
      <t>N/0.7, МН</t>
    </r>
  </si>
  <si>
    <r>
      <t xml:space="preserve">должно быть </t>
    </r>
    <r>
      <rPr>
        <sz val="10"/>
        <rFont val="Times New Roman"/>
        <family val="1"/>
      </rPr>
      <t>≥</t>
    </r>
  </si>
  <si>
    <t>РАСЧЕТ РАСКРЫТИЯ ТРЕЩИН ПО МЕТОДИКЕ СНиП 2.05.03-84* пп.3.105-3.110* и Пособия к СП 52-101-2003, формула 4.14</t>
  </si>
  <si>
    <r>
      <t>η</t>
    </r>
    <r>
      <rPr>
        <sz val="10"/>
        <rFont val="Arial"/>
        <family val="2"/>
      </rPr>
      <t>=1/(1-N/Ncr)</t>
    </r>
  </si>
  <si>
    <r>
      <t>e</t>
    </r>
    <r>
      <rPr>
        <sz val="8"/>
        <rFont val="Arial"/>
        <family val="2"/>
      </rPr>
      <t>c</t>
    </r>
    <r>
      <rPr>
        <sz val="10"/>
        <rFont val="Arial"/>
        <family val="2"/>
      </rPr>
      <t>*</t>
    </r>
    <r>
      <rPr>
        <sz val="10"/>
        <rFont val="Times New Roman"/>
        <family val="1"/>
      </rPr>
      <t>η</t>
    </r>
    <r>
      <rPr>
        <sz val="10"/>
        <rFont val="Arial"/>
        <family val="2"/>
      </rPr>
      <t>*N= , МН*м</t>
    </r>
  </si>
  <si>
    <t>ПРОВЕРКА ПО ПРОЧНОСТИ</t>
  </si>
  <si>
    <r>
      <t>σ</t>
    </r>
    <r>
      <rPr>
        <sz val="10"/>
        <rFont val="Arial"/>
        <family val="2"/>
      </rPr>
      <t>s, Мпа по  ф-ле 4.14  Пос. к СП 52-101-2003</t>
    </r>
  </si>
  <si>
    <r>
      <t>φ</t>
    </r>
    <r>
      <rPr>
        <sz val="10"/>
        <rFont val="Arial"/>
        <family val="2"/>
      </rPr>
      <t>=1.6(1-1.55*</t>
    </r>
    <r>
      <rPr>
        <sz val="10"/>
        <rFont val="Times New Roman"/>
        <family val="1"/>
      </rPr>
      <t>ζ</t>
    </r>
    <r>
      <rPr>
        <sz val="10"/>
        <rFont val="Arial"/>
        <family val="2"/>
      </rPr>
      <t>)*</t>
    </r>
    <r>
      <rPr>
        <sz val="10"/>
        <rFont val="Times New Roman"/>
        <family val="1"/>
      </rPr>
      <t>ζ≤</t>
    </r>
    <r>
      <rPr>
        <sz val="10"/>
        <rFont val="Arial"/>
        <family val="2"/>
      </rPr>
      <t>1</t>
    </r>
  </si>
  <si>
    <r>
      <t xml:space="preserve">коэф. </t>
    </r>
    <r>
      <rPr>
        <sz val="10"/>
        <rFont val="Times New Roman"/>
        <family val="1"/>
      </rPr>
      <t>β, табл. 41*</t>
    </r>
  </si>
  <si>
    <r>
      <t xml:space="preserve">принятое </t>
    </r>
    <r>
      <rPr>
        <sz val="10"/>
        <rFont val="Times New Roman"/>
        <family val="1"/>
      </rPr>
      <t>φ</t>
    </r>
  </si>
  <si>
    <r>
      <t xml:space="preserve">должно быть </t>
    </r>
    <r>
      <rPr>
        <sz val="10"/>
        <rFont val="Times New Roman"/>
        <family val="1"/>
      </rPr>
      <t>≤</t>
    </r>
  </si>
  <si>
    <t>Площадь зоны взаимодейств. Ar, см2</t>
  </si>
  <si>
    <t>Слева-высота зоны взаим., справа-её центр.угол</t>
  </si>
  <si>
    <r>
      <t>Mпред=2/3*RbAb*r*X</t>
    </r>
    <r>
      <rPr>
        <sz val="10"/>
        <rFont val="Times New Roman"/>
        <family val="1"/>
      </rPr>
      <t>³</t>
    </r>
    <r>
      <rPr>
        <sz val="10"/>
        <rFont val="Arial"/>
        <family val="2"/>
      </rPr>
      <t>/</t>
    </r>
    <r>
      <rPr>
        <sz val="10"/>
        <rFont val="Times New Roman"/>
        <family val="1"/>
      </rPr>
      <t>π</t>
    </r>
    <r>
      <rPr>
        <sz val="10"/>
        <rFont val="Arial"/>
        <family val="2"/>
      </rPr>
      <t>+RsAs,tot*(X/</t>
    </r>
    <r>
      <rPr>
        <sz val="10"/>
        <rFont val="Times New Roman"/>
        <family val="1"/>
      </rPr>
      <t>π</t>
    </r>
    <r>
      <rPr>
        <sz val="10"/>
        <rFont val="Arial"/>
        <family val="2"/>
      </rPr>
      <t>+</t>
    </r>
    <r>
      <rPr>
        <sz val="10"/>
        <rFont val="Times New Roman"/>
        <family val="1"/>
      </rPr>
      <t>φ</t>
    </r>
    <r>
      <rPr>
        <sz val="10"/>
        <rFont val="Arial"/>
        <family val="2"/>
      </rPr>
      <t>)*r</t>
    </r>
    <r>
      <rPr>
        <sz val="8"/>
        <rFont val="Arial"/>
        <family val="2"/>
      </rPr>
      <t xml:space="preserve">s </t>
    </r>
    <r>
      <rPr>
        <sz val="10"/>
        <rFont val="Times New Roman"/>
        <family val="1"/>
      </rPr>
      <t>≥</t>
    </r>
    <r>
      <rPr>
        <sz val="10"/>
        <rFont val="Arial"/>
        <family val="2"/>
      </rPr>
      <t>ec*η*N</t>
    </r>
  </si>
  <si>
    <t>Радиус армирова-   ния Rr, см</t>
  </si>
  <si>
    <t>Вспомогательные расчеты</t>
  </si>
  <si>
    <r>
      <t xml:space="preserve">коэф. </t>
    </r>
    <r>
      <rPr>
        <sz val="10"/>
        <rFont val="Times New Roman"/>
        <family val="1"/>
      </rPr>
      <t>Ψ</t>
    </r>
  </si>
  <si>
    <t>Ширина раскрытия трещины acr, см, определенная по методике мостового СНиПа, но напряжение в арматуре - по методике СП. При этом если стержни спаренные, то радиус армирования рассчитывается для двух стержней.</t>
  </si>
  <si>
    <t>РАСЧЕТ ВНЕЦЕНТРЕННО СЖАТЫХ ПРЯМОУГОЛЬНЫХ ЭЛЕМЕНТОВ</t>
  </si>
  <si>
    <t>ГЕОМЕТРИЧЕСКИЕ И ПРОЧНОСТНЫЕ ХАРАКТЕРИСТИКИ СЕЧЕНИЯ</t>
  </si>
  <si>
    <t>В=, м</t>
  </si>
  <si>
    <t>Н=, м</t>
  </si>
  <si>
    <t>Диаметр рабочей арматуры, расположенной вдоль узкой грани d(x), мм</t>
  </si>
  <si>
    <t>Защ.слой, мм</t>
  </si>
  <si>
    <t>Число стержней n, шт</t>
  </si>
  <si>
    <t>Число рядов стержней</t>
  </si>
  <si>
    <r>
      <t>a</t>
    </r>
    <r>
      <rPr>
        <sz val="10"/>
        <rFont val="Arial"/>
        <family val="2"/>
      </rPr>
      <t>sx, мм</t>
    </r>
  </si>
  <si>
    <r>
      <t>А</t>
    </r>
    <r>
      <rPr>
        <sz val="10"/>
        <rFont val="Arial"/>
        <family val="2"/>
      </rPr>
      <t>sx, м2</t>
    </r>
  </si>
  <si>
    <t>Диаметр рабочей арматуры, расположенной вдоль широкой грани d(у), мм</t>
  </si>
  <si>
    <r>
      <t>a</t>
    </r>
    <r>
      <rPr>
        <sz val="10"/>
        <rFont val="Arial"/>
        <family val="2"/>
      </rPr>
      <t>sу, мм</t>
    </r>
  </si>
  <si>
    <r>
      <t>А</t>
    </r>
    <r>
      <rPr>
        <sz val="10"/>
        <rFont val="Arial"/>
        <family val="2"/>
      </rPr>
      <t>sу, м2</t>
    </r>
  </si>
  <si>
    <t>Rsc, Мпа</t>
  </si>
  <si>
    <t>Rb, Мпа</t>
  </si>
  <si>
    <t>Rbser, Мпа</t>
  </si>
  <si>
    <t>ОПРЕДЕЛЕНИЕ ВЫСОТЫ СЖАТОЙ ЗОНЫ И КРИТИЧЕСКОЙ СИЛЫ</t>
  </si>
  <si>
    <t>Расчетное усилие Nрасч, тс</t>
  </si>
  <si>
    <t>Нормативное усилие Nнорм, тс</t>
  </si>
  <si>
    <t>Расчетный момент МXрасч, тс*м</t>
  </si>
  <si>
    <t>Высота сжатой зоны х без учета сжатой ар-ры, м</t>
  </si>
  <si>
    <t>Высота сжатой зоны х с учетом сжатой ар-ры, м</t>
  </si>
  <si>
    <t>Принятое х, м</t>
  </si>
  <si>
    <t>Нормативный момент МXнорм, тс*м</t>
  </si>
  <si>
    <r>
      <t>η(х)</t>
    </r>
    <r>
      <rPr>
        <sz val="10"/>
        <rFont val="Arial"/>
        <family val="2"/>
      </rPr>
      <t>=</t>
    </r>
  </si>
  <si>
    <t>Расчетная длина стойки Lox,м</t>
  </si>
  <si>
    <r>
      <t>е</t>
    </r>
    <r>
      <rPr>
        <sz val="10"/>
        <rFont val="Arial"/>
        <family val="2"/>
      </rPr>
      <t>сх=, м</t>
    </r>
  </si>
  <si>
    <r>
      <t>δх</t>
    </r>
    <r>
      <rPr>
        <sz val="10"/>
        <rFont val="Arial"/>
        <family val="2"/>
      </rPr>
      <t>=</t>
    </r>
  </si>
  <si>
    <t>Ncr(x)=, т</t>
  </si>
  <si>
    <t>Расчетный момент МYрасч, тс*м</t>
  </si>
  <si>
    <t>Нормативный момент МYнорм, тс*м</t>
  </si>
  <si>
    <r>
      <t>η(у)</t>
    </r>
    <r>
      <rPr>
        <sz val="10"/>
        <rFont val="Arial"/>
        <family val="2"/>
      </rPr>
      <t>=</t>
    </r>
  </si>
  <si>
    <t>Расчетная длина стойки Loy,м</t>
  </si>
  <si>
    <r>
      <t>е</t>
    </r>
    <r>
      <rPr>
        <sz val="10"/>
        <rFont val="Arial"/>
        <family val="2"/>
      </rPr>
      <t>су=, м</t>
    </r>
  </si>
  <si>
    <r>
      <t>δу</t>
    </r>
    <r>
      <rPr>
        <sz val="10"/>
        <rFont val="Arial"/>
        <family val="2"/>
      </rPr>
      <t>=</t>
    </r>
  </si>
  <si>
    <t>Ncr(у)=, т</t>
  </si>
  <si>
    <t>ПРОВЕРКА ПО ПРОЧНОСТИ, УСТОЙЧИВОСТИ, ПОЯВЛЕНИЮ ПРОДОЛЬНЫХ ТРЕЩИН И РАСКРЫТИЮ ПОПЕРЕЧНЫХ</t>
  </si>
  <si>
    <t>Расчет по формуле 73 стр.51 СНиП 2.05.03-84* для случая х1&gt;2as' и x2&lt;2as'</t>
  </si>
  <si>
    <r>
      <t>Условие Ne</t>
    </r>
    <r>
      <rPr>
        <sz val="8"/>
        <rFont val="Arial"/>
        <family val="2"/>
      </rPr>
      <t>o</t>
    </r>
    <r>
      <rPr>
        <sz val="10"/>
        <rFont val="Arial"/>
        <family val="2"/>
      </rPr>
      <t>&lt;(N+RsAs)*(h</t>
    </r>
    <r>
      <rPr>
        <sz val="8"/>
        <rFont val="Arial"/>
        <family val="2"/>
      </rPr>
      <t>o</t>
    </r>
    <r>
      <rPr>
        <sz val="10"/>
        <rFont val="Arial"/>
        <family val="2"/>
      </rPr>
      <t>-as')</t>
    </r>
  </si>
  <si>
    <r>
      <t>Ne</t>
    </r>
    <r>
      <rPr>
        <sz val="8"/>
        <rFont val="Arial"/>
        <family val="2"/>
      </rPr>
      <t>ox</t>
    </r>
    <r>
      <rPr>
        <sz val="10"/>
        <rFont val="Arial"/>
        <family val="2"/>
      </rPr>
      <t>=, т</t>
    </r>
  </si>
  <si>
    <r>
      <t>(N+RsAsx)* (h</t>
    </r>
    <r>
      <rPr>
        <sz val="8"/>
        <rFont val="Arial"/>
        <family val="2"/>
      </rPr>
      <t>ox</t>
    </r>
    <r>
      <rPr>
        <sz val="10"/>
        <rFont val="Arial"/>
        <family val="2"/>
      </rPr>
      <t>-a</t>
    </r>
    <r>
      <rPr>
        <sz val="8"/>
        <rFont val="Arial"/>
        <family val="2"/>
      </rPr>
      <t>sx</t>
    </r>
    <r>
      <rPr>
        <sz val="10"/>
        <rFont val="Arial"/>
        <family val="2"/>
      </rPr>
      <t>)=,т</t>
    </r>
  </si>
  <si>
    <r>
      <t>Ne</t>
    </r>
    <r>
      <rPr>
        <sz val="8"/>
        <rFont val="Arial"/>
        <family val="2"/>
      </rPr>
      <t>oу</t>
    </r>
    <r>
      <rPr>
        <sz val="10"/>
        <rFont val="Arial"/>
        <family val="2"/>
      </rPr>
      <t>=, т</t>
    </r>
  </si>
  <si>
    <r>
      <t>(N+RsAsу)* (h</t>
    </r>
    <r>
      <rPr>
        <sz val="8"/>
        <rFont val="Arial"/>
        <family val="2"/>
      </rPr>
      <t>oу</t>
    </r>
    <r>
      <rPr>
        <sz val="10"/>
        <rFont val="Arial"/>
        <family val="2"/>
      </rPr>
      <t>-a</t>
    </r>
    <r>
      <rPr>
        <sz val="8"/>
        <rFont val="Arial"/>
        <family val="2"/>
      </rPr>
      <t>sу</t>
    </r>
    <r>
      <rPr>
        <sz val="10"/>
        <rFont val="Arial"/>
        <family val="2"/>
      </rPr>
      <t>)=,т</t>
    </r>
  </si>
  <si>
    <t>Расчет по формуле 70 стр.51 СНиП 2.05.03-84* для случая х2&gt;2as' или x1&lt;2as'</t>
  </si>
  <si>
    <r>
      <t>Условие Neo&lt;Rb*b*x*(h</t>
    </r>
    <r>
      <rPr>
        <sz val="8"/>
        <rFont val="Arial"/>
        <family val="2"/>
      </rPr>
      <t>o</t>
    </r>
    <r>
      <rPr>
        <sz val="10"/>
        <rFont val="Arial"/>
        <family val="2"/>
      </rPr>
      <t>-0.5*x)+RscAs'*(ho-as')</t>
    </r>
  </si>
  <si>
    <t>Rb*b*x*(hox-0.5*x)+Rsc* Asx'*(hox-asx')</t>
  </si>
  <si>
    <t>Rb*h*x*(hoy-0.5*x)+Rsc* Asy'*(hoy-asy')</t>
  </si>
  <si>
    <r>
      <t xml:space="preserve">Проверка по устойчивости для наихудшего случая, когда </t>
    </r>
    <r>
      <rPr>
        <sz val="10"/>
        <rFont val="Times New Roman"/>
        <family val="1"/>
      </rPr>
      <t>φ=φmin=φl (т.е. продольное усилие - только от постоянной нагрузки)</t>
    </r>
  </si>
  <si>
    <r>
      <t>Условие N&lt;</t>
    </r>
    <r>
      <rPr>
        <sz val="10"/>
        <rFont val="Times New Roman"/>
        <family val="1"/>
      </rPr>
      <t>φ</t>
    </r>
    <r>
      <rPr>
        <sz val="10"/>
        <rFont val="Arial"/>
        <family val="2"/>
      </rPr>
      <t>(RbAb+RscAs')</t>
    </r>
  </si>
  <si>
    <t>φ(RbAb+RscAs')=, т</t>
  </si>
  <si>
    <t>Принимаем φ=φmin согл. Табл. 36 стр.47</t>
  </si>
  <si>
    <t>Проверка на появление продольных трещин с учетом площади только сжатого бетона (сжатая зона определена по ф-лам 7.42 и 7.45 СП52-101-2003)</t>
  </si>
  <si>
    <r>
      <t xml:space="preserve">Условие </t>
    </r>
    <r>
      <rPr>
        <sz val="14"/>
        <rFont val="Times New Roman"/>
        <family val="1"/>
      </rPr>
      <t>σ</t>
    </r>
    <r>
      <rPr>
        <sz val="10"/>
        <rFont val="Arial"/>
        <family val="2"/>
      </rPr>
      <t xml:space="preserve">bx&lt;Rb,mc2          </t>
    </r>
    <r>
      <rPr>
        <sz val="14"/>
        <rFont val="Arial"/>
        <family val="2"/>
      </rPr>
      <t>σ</t>
    </r>
    <r>
      <rPr>
        <sz val="10"/>
        <rFont val="Arial"/>
        <family val="2"/>
      </rPr>
      <t>bx=N/Ared+M/Wred</t>
    </r>
  </si>
  <si>
    <t>Напряжения на грани, II оси х-х, Мпа</t>
  </si>
  <si>
    <t>Напряжения на грани, II оси    у-у, Мпа</t>
  </si>
  <si>
    <t>Rb,mc2=, МПА</t>
  </si>
  <si>
    <t>Промежуточные расчеты к определению высоты сжатой зоны при расчете по 2 группе ПС</t>
  </si>
  <si>
    <t>Коэффициент приведения арматуры к бетону n'=</t>
  </si>
  <si>
    <t>Ared(x)=, м2</t>
  </si>
  <si>
    <t>ус(х)=, м</t>
  </si>
  <si>
    <t>Ired(x)=, м4</t>
  </si>
  <si>
    <t>2*n'*Asx/ (b*hox)</t>
  </si>
  <si>
    <t>2*n'*Asy/ (h*hoy)</t>
  </si>
  <si>
    <t>Ared(х), м2</t>
  </si>
  <si>
    <t>Ired(x)(полное), м4</t>
  </si>
  <si>
    <t>Ired(у)(полное), м4</t>
  </si>
  <si>
    <t>Ared(у)=, м2</t>
  </si>
  <si>
    <t>ус(у)=, м</t>
  </si>
  <si>
    <t>Ired(у)=, м4</t>
  </si>
  <si>
    <t>Расчет на раскрытие трещин</t>
  </si>
  <si>
    <t>Ar(x), см2</t>
  </si>
  <si>
    <r>
      <t>β</t>
    </r>
    <r>
      <rPr>
        <sz val="10"/>
        <rFont val="Arial"/>
        <family val="2"/>
      </rPr>
      <t>(х)</t>
    </r>
  </si>
  <si>
    <t>Rr(x)=, см</t>
  </si>
  <si>
    <r>
      <t>σ</t>
    </r>
    <r>
      <rPr>
        <sz val="10"/>
        <rFont val="Arial"/>
        <family val="2"/>
      </rPr>
      <t>s(x)=, Мпа</t>
    </r>
  </si>
  <si>
    <r>
      <t>a</t>
    </r>
    <r>
      <rPr>
        <sz val="10"/>
        <rFont val="Arial"/>
        <family val="2"/>
      </rPr>
      <t>cr(x)=, см</t>
    </r>
  </si>
  <si>
    <t>XMx, м</t>
  </si>
  <si>
    <t>XMy, м</t>
  </si>
  <si>
    <t>Ared(у), м2</t>
  </si>
  <si>
    <t>Xmx, м</t>
  </si>
  <si>
    <t>Xmу, м</t>
  </si>
  <si>
    <t>Ar(у), см2</t>
  </si>
  <si>
    <r>
      <t>β</t>
    </r>
    <r>
      <rPr>
        <sz val="10"/>
        <rFont val="Arial"/>
        <family val="2"/>
      </rPr>
      <t>(у)</t>
    </r>
  </si>
  <si>
    <t>Rr(y)=, см</t>
  </si>
  <si>
    <r>
      <t>σ</t>
    </r>
    <r>
      <rPr>
        <sz val="10"/>
        <rFont val="Arial"/>
        <family val="2"/>
      </rPr>
      <t>s(у)=, Мпа</t>
    </r>
  </si>
  <si>
    <r>
      <t>a</t>
    </r>
    <r>
      <rPr>
        <sz val="10"/>
        <rFont val="Arial"/>
        <family val="2"/>
      </rPr>
      <t>cr(у)=, см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</si>
</sst>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"/>
    <numFmt numFmtId="166" formatCode="@"/>
    <numFmt numFmtId="167" formatCode="0.0000"/>
  </numFmts>
  <fonts count="11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8"/>
      <color indexed="8"/>
      <name val="Tahoma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0" fillId="3" borderId="0" xfId="0" applyFont="1" applyFill="1" applyBorder="1" applyAlignment="1">
      <alignment horizontal="center" vertical="center" wrapText="1"/>
    </xf>
    <xf numFmtId="164" fontId="0" fillId="4" borderId="0" xfId="0" applyFill="1" applyAlignment="1" applyProtection="1">
      <alignment horizontal="center" vertical="center" wrapText="1"/>
      <protection locked="0"/>
    </xf>
    <xf numFmtId="164" fontId="0" fillId="5" borderId="0" xfId="0" applyFill="1" applyAlignment="1" applyProtection="1">
      <alignment horizontal="center" vertical="center" wrapText="1"/>
      <protection/>
    </xf>
    <xf numFmtId="164" fontId="0" fillId="3" borderId="0" xfId="0" applyFont="1" applyFill="1" applyAlignment="1">
      <alignment horizontal="center" vertical="center" wrapText="1"/>
    </xf>
    <xf numFmtId="164" fontId="0" fillId="6" borderId="0" xfId="0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5" fontId="0" fillId="6" borderId="0" xfId="0" applyNumberFormat="1" applyFill="1" applyAlignment="1">
      <alignment horizontal="center" vertical="center" wrapText="1"/>
    </xf>
    <xf numFmtId="164" fontId="0" fillId="7" borderId="0" xfId="0" applyFont="1" applyFill="1" applyBorder="1" applyAlignment="1">
      <alignment horizontal="center" vertical="center" wrapText="1"/>
    </xf>
    <xf numFmtId="164" fontId="0" fillId="3" borderId="0" xfId="0" applyFill="1" applyAlignment="1" applyProtection="1">
      <alignment horizontal="center" vertical="center" wrapText="1"/>
      <protection locked="0"/>
    </xf>
    <xf numFmtId="164" fontId="0" fillId="5" borderId="0" xfId="0" applyFont="1" applyFill="1" applyAlignment="1">
      <alignment horizontal="center" vertical="center" wrapText="1"/>
    </xf>
    <xf numFmtId="164" fontId="0" fillId="6" borderId="0" xfId="0" applyFill="1" applyBorder="1" applyAlignment="1">
      <alignment horizontal="center" vertical="center" wrapText="1"/>
    </xf>
    <xf numFmtId="164" fontId="0" fillId="0" borderId="0" xfId="0" applyAlignment="1" applyProtection="1">
      <alignment horizontal="center" vertical="center" wrapText="1"/>
      <protection hidden="1"/>
    </xf>
    <xf numFmtId="164" fontId="0" fillId="8" borderId="0" xfId="0" applyFont="1" applyFill="1" applyBorder="1" applyAlignment="1" applyProtection="1">
      <alignment horizontal="center" vertical="center" wrapText="1"/>
      <protection hidden="1"/>
    </xf>
    <xf numFmtId="164" fontId="0" fillId="2" borderId="0" xfId="0" applyFont="1" applyFill="1" applyBorder="1" applyAlignment="1" applyProtection="1">
      <alignment horizontal="center" vertical="center" wrapText="1"/>
      <protection hidden="1"/>
    </xf>
    <xf numFmtId="164" fontId="0" fillId="3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Alignment="1" applyProtection="1">
      <alignment horizontal="center" vertical="center" wrapText="1"/>
      <protection hidden="1"/>
    </xf>
    <xf numFmtId="164" fontId="0" fillId="4" borderId="0" xfId="0" applyFont="1" applyFill="1" applyAlignment="1" applyProtection="1">
      <alignment horizontal="center" vertical="center" wrapText="1"/>
      <protection hidden="1"/>
    </xf>
    <xf numFmtId="164" fontId="0" fillId="3" borderId="0" xfId="0" applyFill="1" applyAlignment="1" applyProtection="1">
      <alignment horizontal="center" vertical="center" wrapText="1"/>
      <protection hidden="1" locked="0"/>
    </xf>
    <xf numFmtId="164" fontId="0" fillId="5" borderId="0" xfId="0" applyFill="1" applyAlignment="1" applyProtection="1">
      <alignment horizontal="center" vertical="center" wrapText="1"/>
      <protection hidden="1"/>
    </xf>
    <xf numFmtId="164" fontId="0" fillId="6" borderId="0" xfId="0" applyFill="1" applyAlignment="1" applyProtection="1">
      <alignment horizontal="center" vertical="center" wrapText="1"/>
      <protection hidden="1"/>
    </xf>
    <xf numFmtId="164" fontId="0" fillId="3" borderId="0" xfId="0" applyNumberFormat="1" applyFill="1" applyAlignment="1" applyProtection="1">
      <alignment horizontal="center" vertical="center" wrapText="1"/>
      <protection hidden="1" locked="0"/>
    </xf>
    <xf numFmtId="166" fontId="0" fillId="0" borderId="0" xfId="0" applyNumberFormat="1" applyFont="1" applyFill="1" applyAlignment="1" applyProtection="1">
      <alignment horizontal="center" vertical="center" wrapText="1"/>
      <protection hidden="1"/>
    </xf>
    <xf numFmtId="164" fontId="0" fillId="4" borderId="0" xfId="0" applyFont="1" applyFill="1" applyAlignment="1" applyProtection="1">
      <alignment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4" borderId="0" xfId="0" applyFont="1" applyFill="1" applyAlignment="1" applyProtection="1">
      <alignment horizontal="center" vertical="center" wrapText="1"/>
      <protection hidden="1"/>
    </xf>
    <xf numFmtId="164" fontId="0" fillId="9" borderId="0" xfId="0" applyFill="1" applyAlignment="1" applyProtection="1">
      <alignment horizontal="center" vertical="center" wrapText="1"/>
      <protection hidden="1"/>
    </xf>
    <xf numFmtId="164" fontId="0" fillId="10" borderId="0" xfId="0" applyFill="1" applyAlignment="1" applyProtection="1">
      <alignment horizontal="center" vertical="center" wrapText="1"/>
      <protection hidden="1"/>
    </xf>
    <xf numFmtId="164" fontId="0" fillId="11" borderId="0" xfId="0" applyFont="1" applyFill="1" applyBorder="1" applyAlignment="1" applyProtection="1">
      <alignment horizontal="center" vertical="center" wrapText="1"/>
      <protection hidden="1"/>
    </xf>
    <xf numFmtId="164" fontId="0" fillId="11" borderId="0" xfId="0" applyFill="1" applyAlignment="1" applyProtection="1">
      <alignment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6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7" fontId="0" fillId="6" borderId="0" xfId="0" applyNumberFormat="1" applyFill="1" applyAlignment="1" applyProtection="1">
      <alignment horizontal="center" vertical="center" wrapText="1"/>
      <protection hidden="1"/>
    </xf>
    <xf numFmtId="164" fontId="0" fillId="8" borderId="0" xfId="0" applyFill="1" applyAlignment="1" applyProtection="1">
      <alignment horizontal="center" vertical="center" wrapText="1"/>
      <protection hidden="1"/>
    </xf>
    <xf numFmtId="164" fontId="0" fillId="12" borderId="0" xfId="0" applyFont="1" applyFill="1" applyAlignment="1" applyProtection="1">
      <alignment horizontal="center" vertical="center" wrapText="1"/>
      <protection hidden="1"/>
    </xf>
    <xf numFmtId="164" fontId="0" fillId="13" borderId="0" xfId="0" applyFill="1" applyAlignment="1" applyProtection="1">
      <alignment horizontal="center" vertical="center" wrapText="1"/>
      <protection hidden="1"/>
    </xf>
    <xf numFmtId="164" fontId="1" fillId="12" borderId="0" xfId="0" applyFont="1" applyFill="1" applyAlignment="1" applyProtection="1">
      <alignment horizontal="center" vertical="center" wrapText="1"/>
      <protection hidden="1"/>
    </xf>
    <xf numFmtId="164" fontId="1" fillId="6" borderId="0" xfId="0" applyFont="1" applyFill="1" applyAlignment="1" applyProtection="1">
      <alignment horizontal="center" vertical="center" wrapText="1"/>
      <protection hidden="1"/>
    </xf>
    <xf numFmtId="164" fontId="0" fillId="3" borderId="0" xfId="0" applyFont="1" applyFill="1" applyAlignment="1" applyProtection="1">
      <alignment horizontal="center" vertical="center" wrapText="1"/>
      <protection hidden="1"/>
    </xf>
    <xf numFmtId="164" fontId="0" fillId="4" borderId="0" xfId="0" applyFill="1" applyAlignment="1" applyProtection="1">
      <alignment horizontal="center" vertical="center" wrapText="1"/>
      <protection hidden="1" locked="0"/>
    </xf>
    <xf numFmtId="164" fontId="0" fillId="14" borderId="0" xfId="0" applyFill="1" applyAlignment="1" applyProtection="1">
      <alignment horizontal="center" vertical="center" wrapText="1"/>
      <protection hidden="1"/>
    </xf>
    <xf numFmtId="164" fontId="0" fillId="14" borderId="0" xfId="0" applyFont="1" applyFill="1" applyBorder="1" applyAlignment="1" applyProtection="1">
      <alignment horizontal="center" vertical="center" wrapText="1"/>
      <protection hidden="1"/>
    </xf>
    <xf numFmtId="164" fontId="0" fillId="15" borderId="0" xfId="0" applyFont="1" applyFill="1" applyBorder="1" applyAlignment="1" applyProtection="1">
      <alignment horizontal="center" vertical="center" wrapText="1"/>
      <protection hidden="1"/>
    </xf>
    <xf numFmtId="164" fontId="9" fillId="0" borderId="0" xfId="0" applyFont="1" applyAlignment="1" applyProtection="1">
      <alignment horizontal="center" vertical="center" wrapText="1"/>
      <protection hidden="1"/>
    </xf>
    <xf numFmtId="164" fontId="0" fillId="9" borderId="0" xfId="0" applyFont="1" applyFill="1" applyBorder="1" applyAlignment="1" applyProtection="1">
      <alignment horizontal="center" vertical="center" wrapText="1"/>
      <protection hidden="1"/>
    </xf>
    <xf numFmtId="164" fontId="0" fillId="9" borderId="0" xfId="0" applyFill="1" applyBorder="1" applyAlignment="1" applyProtection="1">
      <alignment horizontal="center" vertical="center" wrapText="1"/>
      <protection hidden="1"/>
    </xf>
    <xf numFmtId="164" fontId="0" fillId="16" borderId="0" xfId="0" applyFont="1" applyFill="1" applyAlignment="1" applyProtection="1">
      <alignment horizontal="center" vertical="center" wrapText="1"/>
      <protection hidden="1"/>
    </xf>
    <xf numFmtId="164" fontId="9" fillId="9" borderId="0" xfId="0" applyFont="1" applyFill="1" applyAlignment="1" applyProtection="1">
      <alignment horizontal="center" vertical="center" wrapText="1"/>
      <protection hidden="1"/>
    </xf>
    <xf numFmtId="164" fontId="0" fillId="17" borderId="0" xfId="0" applyFont="1" applyFill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19050</xdr:rowOff>
    </xdr:from>
    <xdr:to>
      <xdr:col>5</xdr:col>
      <xdr:colOff>457200</xdr:colOff>
      <xdr:row>22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42900"/>
          <a:ext cx="5943600" cy="3276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 topLeftCell="A1">
      <selection activeCell="G10" sqref="G10"/>
    </sheetView>
  </sheetViews>
  <sheetFormatPr defaultColWidth="9.140625" defaultRowHeight="12.75"/>
  <cols>
    <col min="1" max="1" width="30.00390625" style="1" customWidth="1"/>
    <col min="2" max="2" width="20.8515625" style="1" customWidth="1"/>
    <col min="3" max="3" width="18.421875" style="1" customWidth="1"/>
    <col min="4" max="4" width="11.57421875" style="1" customWidth="1"/>
    <col min="5" max="5" width="3.28125" style="1" customWidth="1"/>
    <col min="6" max="6" width="18.140625" style="1" customWidth="1"/>
    <col min="7" max="7" width="11.7109375" style="1" customWidth="1"/>
    <col min="8" max="8" width="27.00390625" style="1" customWidth="1"/>
    <col min="9" max="16384" width="9.140625" style="1" customWidth="1"/>
  </cols>
  <sheetData>
    <row r="1" spans="1:8" ht="50.25" customHeight="1">
      <c r="A1" s="2" t="s">
        <v>0</v>
      </c>
      <c r="B1" s="2"/>
      <c r="F1" s="2" t="s">
        <v>1</v>
      </c>
      <c r="G1" s="2"/>
      <c r="H1" s="2"/>
    </row>
    <row r="2" spans="1:8" ht="37.5" customHeight="1">
      <c r="A2" s="3" t="s">
        <v>2</v>
      </c>
      <c r="B2" s="3"/>
      <c r="F2" s="1" t="s">
        <v>3</v>
      </c>
      <c r="G2" s="1">
        <f>(6*B8/10+B10/10)*B3*100/(G3*B9*B8/10)</f>
        <v>74.0625</v>
      </c>
      <c r="H2" s="1">
        <f>(6*B8/10+B10/10)</f>
        <v>23.7</v>
      </c>
    </row>
    <row r="3" spans="1:7" ht="12.75">
      <c r="A3" s="1" t="s">
        <v>4</v>
      </c>
      <c r="B3" s="4">
        <v>5</v>
      </c>
      <c r="F3" s="1" t="s">
        <v>5</v>
      </c>
      <c r="G3" s="4">
        <v>1</v>
      </c>
    </row>
    <row r="4" spans="1:7" ht="12.75">
      <c r="A4" s="1" t="s">
        <v>6</v>
      </c>
      <c r="B4" s="4">
        <v>0.30000000000000004</v>
      </c>
      <c r="F4" s="1" t="s">
        <v>7</v>
      </c>
      <c r="G4" s="1">
        <f>1.5*SQRT(G2)</f>
        <v>12.908935858543881</v>
      </c>
    </row>
    <row r="5" spans="1:7" ht="13.5" customHeight="1">
      <c r="A5" s="1" t="s">
        <v>8</v>
      </c>
      <c r="B5" s="5">
        <f>IF(D5=20,10.5,IF(D5=22.5,11.75,IF(D5=25,13,IF(D5=27.5,14.3,IF(D5=30,15.5,IF(D5=35,17.5,20))))))</f>
        <v>13</v>
      </c>
      <c r="C5" s="6" t="s">
        <v>9</v>
      </c>
      <c r="D5" s="4">
        <v>25</v>
      </c>
      <c r="F5" s="1" t="s">
        <v>10</v>
      </c>
      <c r="G5" s="4">
        <v>196000</v>
      </c>
    </row>
    <row r="6" spans="1:7" ht="12.75">
      <c r="A6" s="1" t="s">
        <v>11</v>
      </c>
      <c r="B6" s="4">
        <v>215</v>
      </c>
      <c r="C6" s="4">
        <v>215</v>
      </c>
      <c r="F6" s="1" t="s">
        <v>12</v>
      </c>
      <c r="G6" s="4">
        <v>120</v>
      </c>
    </row>
    <row r="7" spans="1:7" ht="26.25" customHeight="1">
      <c r="A7" s="3" t="s">
        <v>13</v>
      </c>
      <c r="B7" s="3"/>
      <c r="F7" s="1" t="s">
        <v>14</v>
      </c>
      <c r="G7" s="1">
        <f>G6/101.97/(B11*0.8*(B4-B10/1000))</f>
        <v>143.45615413526167</v>
      </c>
    </row>
    <row r="8" spans="1:8" ht="12.75">
      <c r="A8" s="1" t="s">
        <v>15</v>
      </c>
      <c r="B8" s="4">
        <v>32</v>
      </c>
      <c r="F8" s="1" t="s">
        <v>16</v>
      </c>
      <c r="G8" s="7">
        <f>G7*G4/G5</f>
        <v>0.0094482974094157</v>
      </c>
      <c r="H8" s="8" t="s">
        <v>17</v>
      </c>
    </row>
    <row r="9" spans="1:2" ht="12.75">
      <c r="A9" s="1" t="s">
        <v>18</v>
      </c>
      <c r="B9" s="4">
        <v>50</v>
      </c>
    </row>
    <row r="10" spans="1:2" ht="12.75">
      <c r="A10" s="1" t="s">
        <v>19</v>
      </c>
      <c r="B10" s="4">
        <v>45</v>
      </c>
    </row>
    <row r="11" spans="1:2" ht="12.75">
      <c r="A11" s="1" t="s">
        <v>20</v>
      </c>
      <c r="B11" s="1">
        <f>3.14159*B8^2/4*10^-6*B9</f>
        <v>0.040212352</v>
      </c>
    </row>
    <row r="12" spans="1:2" ht="12.75">
      <c r="A12" s="1" t="s">
        <v>21</v>
      </c>
      <c r="B12" s="4">
        <v>32</v>
      </c>
    </row>
    <row r="13" spans="1:2" ht="12.75">
      <c r="A13" s="1" t="s">
        <v>22</v>
      </c>
      <c r="B13" s="4">
        <v>22</v>
      </c>
    </row>
    <row r="14" spans="1:2" ht="12.75">
      <c r="A14" s="1" t="s">
        <v>23</v>
      </c>
      <c r="B14" s="4">
        <v>70</v>
      </c>
    </row>
    <row r="15" spans="1:2" ht="12.75">
      <c r="A15" s="1" t="s">
        <v>24</v>
      </c>
      <c r="B15" s="1">
        <f>3.14159*B12^2/4*10^-6*B13</f>
        <v>0.017693434879999997</v>
      </c>
    </row>
    <row r="16" spans="1:4" ht="12.75">
      <c r="A16" s="1" t="s">
        <v>25</v>
      </c>
      <c r="B16" s="1">
        <f>(0.85-0.008*B5)/(1+B6/500*(1-(0.85-0.008*B5)/1.1))</f>
        <v>0.6553161585024996</v>
      </c>
      <c r="C16" s="1" t="s">
        <v>26</v>
      </c>
      <c r="D16" s="1">
        <f>B19/(B4-B10/1000)</f>
        <v>0.5216081858220211</v>
      </c>
    </row>
    <row r="17" spans="1:2" ht="12.75">
      <c r="A17" s="1" t="s">
        <v>27</v>
      </c>
      <c r="B17" s="1">
        <f>(B6*B11-C6*B15)/(B5*B3)*1000</f>
        <v>74.48564893538465</v>
      </c>
    </row>
    <row r="18" spans="1:2" ht="12.75">
      <c r="A18" s="1" t="s">
        <v>28</v>
      </c>
      <c r="B18" s="1">
        <f>B6*B11/(B5*B3)*1000</f>
        <v>133.0100873846154</v>
      </c>
    </row>
    <row r="19" spans="1:3" ht="38.25" customHeight="1">
      <c r="A19" s="1" t="s">
        <v>29</v>
      </c>
      <c r="B19" s="1">
        <f>IF(B18&lt;(2*B14),B18/1000,IF(B17&gt;(2*B14),B17/1000,0))</f>
        <v>0.1330100873846154</v>
      </c>
      <c r="C19" s="1">
        <f>IF(B18&lt;(2*B14),B18/1000,IF(B17&gt;(2*B14),B17/1000,"расчет вести по формуле (52) стр. 48 СНиП"))</f>
        <v>0.1330100873846154</v>
      </c>
    </row>
    <row r="20" spans="1:2" ht="26.25" customHeight="1">
      <c r="A20" s="3" t="s">
        <v>30</v>
      </c>
      <c r="B20" s="3"/>
    </row>
    <row r="21" spans="1:2" ht="12.75">
      <c r="A21" s="1" t="s">
        <v>31</v>
      </c>
      <c r="B21" s="9">
        <f>IF(B19=0,B6*101.97*B11*(B4-B10/1000-B14/1000),IF(B18&lt;(2*B14),B5*101.97*B3*B19*(B4-B10/1000-0.5*B19),B5*101.97*B3*B19*(B4-B10/1000-0.5*B19)+C6*101.97*B15*(B4-B10/1000-B14/1000)))</f>
        <v>166.17668406991154</v>
      </c>
    </row>
  </sheetData>
  <sheetProtection password="CF66" sheet="1"/>
  <mergeCells count="5">
    <mergeCell ref="A1:B1"/>
    <mergeCell ref="F1:H1"/>
    <mergeCell ref="A2:B2"/>
    <mergeCell ref="A7:B7"/>
    <mergeCell ref="A20:B20"/>
  </mergeCells>
  <printOptions/>
  <pageMargins left="0.7479166666666667" right="0.7479166666666667" top="0.8597222222222223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workbookViewId="0" topLeftCell="A1">
      <selection activeCell="G16" sqref="G16"/>
    </sheetView>
  </sheetViews>
  <sheetFormatPr defaultColWidth="9.140625" defaultRowHeight="12.75"/>
  <cols>
    <col min="1" max="1" width="27.57421875" style="1" customWidth="1"/>
    <col min="2" max="5" width="11.57421875" style="1" customWidth="1"/>
    <col min="6" max="16384" width="9.140625" style="1" customWidth="1"/>
  </cols>
  <sheetData>
    <row r="1" spans="1:4" ht="39" customHeight="1">
      <c r="A1" s="2" t="s">
        <v>32</v>
      </c>
      <c r="B1" s="2"/>
      <c r="C1" s="2"/>
      <c r="D1" s="2"/>
    </row>
    <row r="2" spans="1:4" ht="12.75" customHeight="1">
      <c r="A2" s="10" t="s">
        <v>33</v>
      </c>
      <c r="B2" s="10"/>
      <c r="C2" s="10"/>
      <c r="D2" s="10"/>
    </row>
    <row r="3" spans="1:2" ht="12.75">
      <c r="A3" s="1" t="s">
        <v>34</v>
      </c>
      <c r="B3" s="11">
        <v>1</v>
      </c>
    </row>
    <row r="4" spans="1:4" ht="12.75">
      <c r="A4" s="1" t="s">
        <v>35</v>
      </c>
      <c r="B4" s="5">
        <f>IF(D5=20,10.5,IF(D5=22.5,11.75,IF(D5=25,13,IF(D5=27.5,14.3,IF(D5=30,15.5,IF(D5=35,17.5,20))))))</f>
        <v>15.5</v>
      </c>
      <c r="C4" s="1" t="s">
        <v>36</v>
      </c>
      <c r="D4" s="11">
        <v>272</v>
      </c>
    </row>
    <row r="5" spans="1:4" ht="12.75">
      <c r="A5" s="1" t="s">
        <v>37</v>
      </c>
      <c r="B5" s="11">
        <v>196000</v>
      </c>
      <c r="C5" s="12" t="s">
        <v>9</v>
      </c>
      <c r="D5" s="11">
        <v>30</v>
      </c>
    </row>
    <row r="6" spans="1:2" ht="12.75">
      <c r="A6" s="1" t="s">
        <v>38</v>
      </c>
      <c r="B6" s="5">
        <f>IF(D5=20,27000,IF(D5=22.5,28500,IF(D5=25,30000,IF(D5=27.5,31500,IF(D5=30,32500,IF(D5=35,34500,36000))))))</f>
        <v>32500</v>
      </c>
    </row>
    <row r="7" spans="1:2" ht="12.75">
      <c r="A7" s="1" t="s">
        <v>39</v>
      </c>
      <c r="B7" s="11">
        <v>8</v>
      </c>
    </row>
    <row r="8" spans="1:2" ht="12.75">
      <c r="A8" s="1" t="s">
        <v>40</v>
      </c>
      <c r="B8" s="11">
        <v>4</v>
      </c>
    </row>
    <row r="9" spans="1:2" ht="12.75">
      <c r="A9" s="1" t="s">
        <v>41</v>
      </c>
      <c r="B9" s="11">
        <v>200</v>
      </c>
    </row>
    <row r="10" spans="1:2" ht="12.75">
      <c r="A10" s="1" t="s">
        <v>42</v>
      </c>
      <c r="B10" s="11">
        <v>1500</v>
      </c>
    </row>
    <row r="11" spans="1:4" ht="12.75">
      <c r="A11" s="1" t="s">
        <v>43</v>
      </c>
      <c r="B11" s="1">
        <f>IF(B3=1,1+5*B5/(0.9*B6)*(3.1416*B7^2/4*2*B8)/(B9*B10),1+10*B5/(0.9*B6)*(3.1416*B7^2/4*2*B8)/(B9*B10))</f>
        <v>1.0449096642735043</v>
      </c>
      <c r="C11" s="1" t="s">
        <v>44</v>
      </c>
      <c r="D11" s="1" t="s">
        <v>45</v>
      </c>
    </row>
    <row r="12" spans="1:2" ht="12.75">
      <c r="A12" s="1" t="s">
        <v>46</v>
      </c>
      <c r="B12" s="11">
        <v>0.65</v>
      </c>
    </row>
    <row r="13" spans="1:5" ht="12.75">
      <c r="A13" s="1" t="s">
        <v>47</v>
      </c>
      <c r="B13" s="7">
        <f>0.3*B11*(1-0.01*B4)*B4*B10/1000*B12*101.97</f>
        <v>408.1928965650995</v>
      </c>
      <c r="C13" s="1" t="s">
        <v>48</v>
      </c>
      <c r="D13" s="1" t="s">
        <v>49</v>
      </c>
      <c r="E13" s="11">
        <v>105.6</v>
      </c>
    </row>
    <row r="14" spans="1:4" ht="25.5" customHeight="1">
      <c r="A14" s="10" t="s">
        <v>50</v>
      </c>
      <c r="B14" s="10"/>
      <c r="C14" s="10"/>
      <c r="D14" s="10"/>
    </row>
    <row r="15" spans="1:2" ht="12.75">
      <c r="A15" s="1" t="s">
        <v>51</v>
      </c>
      <c r="B15" s="5">
        <f>IF(D5=20,0.85,IF(D5=22.5,0.9,IF(D5=25,0.95,IF(D5=27.5,1.05,IF(D5=30,1.1,IF(D5=35,1.15,1.15))))))</f>
        <v>1.1</v>
      </c>
    </row>
    <row r="16" spans="1:2" ht="12.75">
      <c r="A16" s="1" t="s">
        <v>52</v>
      </c>
      <c r="B16" s="5">
        <f>IF(D5=20,1.95,IF(D5=22.5,2.3,IF(D5=25,2.5,IF(D5=27.5,2.75,IF(D5=30,2.9,IF(D5=35,3.25,3.6))))))</f>
        <v>2.9</v>
      </c>
    </row>
    <row r="17" spans="1:5" ht="12.75">
      <c r="A17" s="1" t="s">
        <v>53</v>
      </c>
      <c r="B17" s="11">
        <v>94.9</v>
      </c>
      <c r="C17" s="11">
        <v>62.92</v>
      </c>
      <c r="D17" s="11">
        <v>61</v>
      </c>
      <c r="E17" s="11">
        <v>35.9</v>
      </c>
    </row>
    <row r="18" spans="1:7" ht="12.75">
      <c r="A18" s="1" t="s">
        <v>54</v>
      </c>
      <c r="B18" s="5">
        <f>B12/2</f>
        <v>0.325</v>
      </c>
      <c r="C18" s="5">
        <f>B12</f>
        <v>0.65</v>
      </c>
      <c r="D18" s="5">
        <f>1.5*B12</f>
        <v>0.9750000000000001</v>
      </c>
      <c r="E18" s="5">
        <f>2*B12</f>
        <v>1.3</v>
      </c>
      <c r="F18" s="8" t="s">
        <v>55</v>
      </c>
      <c r="G18" s="1">
        <f>2*B12</f>
        <v>1.3</v>
      </c>
    </row>
    <row r="19" spans="1:5" ht="12.75">
      <c r="A19" s="1" t="s">
        <v>56</v>
      </c>
      <c r="B19" s="1">
        <f>1.5*B17/101.97/(B10/1000*B12)</f>
        <v>1.4317936648033736</v>
      </c>
      <c r="C19" s="1">
        <f>1.5*C17/101.97/(B10/1000*B12)</f>
        <v>0.9492988133764831</v>
      </c>
      <c r="D19" s="1">
        <f>1.5*D17/101.97/(B10/1000*B12)</f>
        <v>0.920331017418396</v>
      </c>
      <c r="E19" s="1">
        <f>1.5*E17/101.97/(B10/1000*B12)</f>
        <v>0.5416374348413182</v>
      </c>
    </row>
    <row r="20" spans="1:5" ht="12.75">
      <c r="A20" s="1" t="s">
        <v>57</v>
      </c>
      <c r="B20" s="1">
        <f>2*B15*101.97*B10/1000*B12^2/B18</f>
        <v>437.4513</v>
      </c>
      <c r="C20" s="1">
        <f>2*B15*101.97*B10/1000*B12^2/C18</f>
        <v>218.72565</v>
      </c>
      <c r="D20" s="1">
        <f>2*B15*101.97*B10/1000*B12^2/D18</f>
        <v>145.81709999999998</v>
      </c>
      <c r="E20" s="1">
        <f>2*B15*101.97*B10/1000*B12^2/E18</f>
        <v>109.362825</v>
      </c>
    </row>
    <row r="21" spans="1:4" ht="51.75" customHeight="1">
      <c r="A21" s="1" t="s">
        <v>58</v>
      </c>
      <c r="B21" s="1">
        <f>IF((1.3+0.4*(B16/B19-1))&lt;2.5,(1.3+0.4*(B16/B19-1)),2.5)</f>
        <v>1.7101726027397262</v>
      </c>
      <c r="C21" s="13">
        <f>IF(B19&lt;0.25*B16,"проверку на прочность допускается не производить",IF(B19&gt;B16,"сечение должно быть перепроектировано",(1.3+0.4*(B16/B19-1))))</f>
        <v>1.7101726027397262</v>
      </c>
      <c r="D21" s="13"/>
    </row>
    <row r="22" spans="1:2" ht="12.75">
      <c r="A22" s="1" t="s">
        <v>59</v>
      </c>
      <c r="B22" s="1">
        <f>B21*B15*101.97*B10/1000*B12</f>
        <v>187.0293070732192</v>
      </c>
    </row>
    <row r="23" spans="1:5" ht="12.75">
      <c r="A23" s="1" t="s">
        <v>60</v>
      </c>
      <c r="B23" s="1">
        <f>MIN(B20,B22)</f>
        <v>187.0293070732192</v>
      </c>
      <c r="C23" s="1">
        <f>MIN(C20,B22)</f>
        <v>187.0293070732192</v>
      </c>
      <c r="D23" s="1">
        <f>MIN(D20,B22)</f>
        <v>145.81709999999998</v>
      </c>
      <c r="E23" s="1">
        <f>MIN(E20,B22)</f>
        <v>109.362825</v>
      </c>
    </row>
    <row r="24" spans="1:5" ht="12.75">
      <c r="A24" s="8" t="s">
        <v>61</v>
      </c>
      <c r="B24" s="1">
        <f>D4*101.97*3.1416*(B7/1000)^2/4*2*B8*FLOOR(B18/(B9/1000),1)</f>
        <v>11.153269112832</v>
      </c>
      <c r="C24" s="1">
        <f>D4*101.97*3.1416*(B7/1000)^2/4*2*B8*FLOOR(C18/(B9/1000),1)</f>
        <v>33.459807338496</v>
      </c>
      <c r="D24" s="1">
        <f>D4*101.97*3.1416*(B7/1000)^2/4*2*B8*FLOOR(D18/(B9/1000),1)</f>
        <v>44.613076451328</v>
      </c>
      <c r="E24" s="1">
        <f>D4*101.97*3.1416*(B7/1000)^2/4*2*B8*FLOOR(E18/(B9/1000),1)</f>
        <v>66.919614676992</v>
      </c>
    </row>
    <row r="25" spans="1:5" ht="12.75">
      <c r="A25" s="1" t="s">
        <v>62</v>
      </c>
      <c r="B25" s="7">
        <f>B23+B24</f>
        <v>198.1825761860512</v>
      </c>
      <c r="C25" s="7">
        <f>C23+C24</f>
        <v>220.4891144117152</v>
      </c>
      <c r="D25" s="7">
        <f>D23+D24</f>
        <v>190.43017645132798</v>
      </c>
      <c r="E25" s="7">
        <f>E23+E24</f>
        <v>176.282439676992</v>
      </c>
    </row>
    <row r="26" spans="2:5" ht="12.75">
      <c r="B26" s="1" t="s">
        <v>63</v>
      </c>
      <c r="C26" s="1" t="s">
        <v>64</v>
      </c>
      <c r="D26" s="1" t="s">
        <v>65</v>
      </c>
      <c r="E26" s="1" t="s">
        <v>66</v>
      </c>
    </row>
  </sheetData>
  <sheetProtection password="CF66" sheet="1"/>
  <mergeCells count="4">
    <mergeCell ref="A1:D1"/>
    <mergeCell ref="A2:D2"/>
    <mergeCell ref="A14:D14"/>
    <mergeCell ref="C21:D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="90" zoomScaleNormal="90" workbookViewId="0" topLeftCell="A7">
      <selection activeCell="L17" sqref="L17"/>
    </sheetView>
  </sheetViews>
  <sheetFormatPr defaultColWidth="9.140625" defaultRowHeight="64.5" customHeight="1"/>
  <cols>
    <col min="1" max="1" width="31.421875" style="14" customWidth="1"/>
    <col min="2" max="2" width="13.28125" style="14" customWidth="1"/>
    <col min="3" max="3" width="22.140625" style="14" customWidth="1"/>
    <col min="4" max="4" width="13.140625" style="14" customWidth="1"/>
    <col min="5" max="5" width="12.421875" style="14" customWidth="1"/>
    <col min="6" max="6" width="11.8515625" style="14" customWidth="1"/>
    <col min="7" max="7" width="18.140625" style="14" customWidth="1"/>
    <col min="8" max="8" width="12.140625" style="14" customWidth="1"/>
    <col min="9" max="9" width="19.7109375" style="14" customWidth="1"/>
    <col min="10" max="10" width="13.28125" style="14" customWidth="1"/>
    <col min="11" max="11" width="11.57421875" style="14" customWidth="1"/>
    <col min="12" max="12" width="12.140625" style="14" customWidth="1"/>
    <col min="13" max="13" width="11.57421875" style="14" customWidth="1"/>
    <col min="14" max="16384" width="9.140625" style="14" customWidth="1"/>
  </cols>
  <sheetData>
    <row r="1" spans="1:13" ht="31.5" customHeight="1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5" ht="38.25" customHeight="1">
      <c r="A2" s="16" t="s">
        <v>68</v>
      </c>
      <c r="B2" s="16"/>
      <c r="D2" s="17" t="s">
        <v>69</v>
      </c>
      <c r="E2" s="17"/>
    </row>
    <row r="3" spans="2:3" ht="12.75">
      <c r="B3" s="14" t="s">
        <v>70</v>
      </c>
      <c r="C3" s="18"/>
    </row>
    <row r="4" spans="1:3" ht="12.75">
      <c r="A4" s="19" t="s">
        <v>71</v>
      </c>
      <c r="B4" s="18">
        <f>IF(E9=20,10.5,IF(E9=22.5,11.75,IF(E9=25,13,IF(E9=27.5,14.3,IF(E9=30,15.5,IF(E9=35,17.5,20))))))</f>
        <v>15.5</v>
      </c>
      <c r="C4" s="18"/>
    </row>
    <row r="5" spans="1:3" ht="12.75">
      <c r="A5" s="19" t="s">
        <v>72</v>
      </c>
      <c r="B5" s="18">
        <f>3.1416*B26^2</f>
        <v>0.7854</v>
      </c>
      <c r="C5" s="18"/>
    </row>
    <row r="6" spans="1:7" ht="12.75">
      <c r="A6" s="19" t="s">
        <v>73</v>
      </c>
      <c r="B6" s="20">
        <v>350</v>
      </c>
      <c r="C6" s="18"/>
      <c r="D6" s="19" t="s">
        <v>74</v>
      </c>
      <c r="E6" s="19" t="s">
        <v>75</v>
      </c>
      <c r="F6" s="14" t="s">
        <v>76</v>
      </c>
      <c r="G6" s="14" t="s">
        <v>77</v>
      </c>
    </row>
    <row r="7" spans="1:7" ht="12.75">
      <c r="A7" s="19" t="s">
        <v>76</v>
      </c>
      <c r="B7" s="21">
        <f>F7</f>
        <v>0.011781</v>
      </c>
      <c r="C7" s="18"/>
      <c r="D7" s="20">
        <v>2.5</v>
      </c>
      <c r="E7" s="20">
        <v>24</v>
      </c>
      <c r="F7" s="22">
        <f>3.1416*D7^2/40000*E7</f>
        <v>0.011781</v>
      </c>
      <c r="G7" s="22">
        <f>2*3.1416*B28*100/E7</f>
        <v>11.257399999999999</v>
      </c>
    </row>
    <row r="8" spans="1:3" ht="12.75">
      <c r="A8" s="19" t="s">
        <v>78</v>
      </c>
      <c r="B8" s="23">
        <v>0.30000000000000004</v>
      </c>
      <c r="C8" s="24" t="s">
        <v>79</v>
      </c>
    </row>
    <row r="9" spans="1:5" ht="12.75">
      <c r="A9" s="14" t="s">
        <v>80</v>
      </c>
      <c r="B9" s="14">
        <f>0.77*B4*B5+0.645*B6*B7</f>
        <v>12.03330975</v>
      </c>
      <c r="C9" s="18"/>
      <c r="D9" s="19" t="s">
        <v>9</v>
      </c>
      <c r="E9" s="20">
        <v>30</v>
      </c>
    </row>
    <row r="10" spans="1:3" ht="12.75">
      <c r="A10" s="14" t="s">
        <v>81</v>
      </c>
      <c r="B10" s="14">
        <f>(B4*B5+2.55*B6*B7)</f>
        <v>22.6882425</v>
      </c>
      <c r="C10" s="18"/>
    </row>
    <row r="11" spans="1:3" ht="12.75">
      <c r="A11" s="14" t="s">
        <v>82</v>
      </c>
      <c r="B11" s="14">
        <f>B8</f>
        <v>0.30000000000000004</v>
      </c>
      <c r="C11" s="18"/>
    </row>
    <row r="12" spans="1:3" ht="12.75">
      <c r="A12" s="14" t="s">
        <v>83</v>
      </c>
      <c r="B12" s="14">
        <f>B4*B5/6.283</f>
        <v>1.9375616743593824</v>
      </c>
      <c r="C12" s="18"/>
    </row>
    <row r="13" spans="1:13" ht="26.25" customHeight="1">
      <c r="A13" s="14" t="s">
        <v>84</v>
      </c>
      <c r="B13" s="18">
        <f>SIN(B14)</f>
        <v>0.9759158484654421</v>
      </c>
      <c r="C13" s="18"/>
      <c r="D13" s="25" t="s">
        <v>85</v>
      </c>
      <c r="E13" s="20">
        <v>0.5</v>
      </c>
      <c r="G13" s="16" t="s">
        <v>86</v>
      </c>
      <c r="H13" s="16"/>
      <c r="I13" s="16"/>
      <c r="J13" s="16"/>
      <c r="K13" s="16"/>
      <c r="L13" s="16"/>
      <c r="M13" s="16"/>
    </row>
    <row r="14" spans="1:3" ht="12.75">
      <c r="A14" s="14" t="s">
        <v>87</v>
      </c>
      <c r="B14" s="14">
        <f>2*3.1416*B15</f>
        <v>1.790712</v>
      </c>
      <c r="C14" s="18"/>
    </row>
    <row r="15" spans="1:3" ht="12.75">
      <c r="A15" s="26" t="s">
        <v>88</v>
      </c>
      <c r="B15" s="22">
        <f>IF(ABS(B16-B15)&lt;0.01,B15,IF(B15&lt;=B16,B15+0.005,B15-0.005))</f>
        <v>0.28500000000000003</v>
      </c>
      <c r="C15" s="18"/>
    </row>
    <row r="16" spans="1:12" ht="39" customHeight="1">
      <c r="A16" s="26" t="s">
        <v>89</v>
      </c>
      <c r="B16" s="14">
        <f>(B11+B6*B7+B12*B13)/B10</f>
        <v>0.27830481560599324</v>
      </c>
      <c r="C16" s="18"/>
      <c r="D16" s="19" t="s">
        <v>90</v>
      </c>
      <c r="E16" s="20">
        <v>0.43</v>
      </c>
      <c r="G16" s="19" t="s">
        <v>91</v>
      </c>
      <c r="H16" s="18">
        <f>IF(E9=20,22.5,IF(E9=22.5,20,IF(E9=25,20,IF(E9=27.5,17,IF(E9=30,15,IF(E9=35,15,10))))))</f>
        <v>15</v>
      </c>
      <c r="I16" s="26" t="s">
        <v>92</v>
      </c>
      <c r="J16" s="14">
        <f>H22/L35+H23*L34/L36</f>
        <v>14.277126520663804</v>
      </c>
      <c r="K16" s="26" t="s">
        <v>93</v>
      </c>
      <c r="L16" s="18">
        <f>IF(E9=20,8.8,IF(E9=22.5,10.3,IF(E9=25,11.8,IF(E9=27.5,13.2,IF(E9=30,14.6,IF(E9=35,16.7,19.6))))))</f>
        <v>14.6</v>
      </c>
    </row>
    <row r="17" spans="1:10" ht="12.75">
      <c r="A17" s="27" t="s">
        <v>94</v>
      </c>
      <c r="B17" s="28">
        <f>SIN(3.1415*B16)</f>
        <v>0.7670911381604164</v>
      </c>
      <c r="C17" s="18"/>
      <c r="G17" s="19" t="s">
        <v>95</v>
      </c>
      <c r="H17" s="19">
        <f>B24/B23</f>
        <v>6.030769230769231</v>
      </c>
      <c r="J17" s="29" t="str">
        <f>IF(L16&gt;J16,"условие выполняется","условие не выполняется")</f>
        <v>условие выполняется</v>
      </c>
    </row>
    <row r="18" spans="1:2" ht="12.75">
      <c r="A18" s="27" t="s">
        <v>96</v>
      </c>
      <c r="B18" s="28">
        <f>B13</f>
        <v>0.9759158484654421</v>
      </c>
    </row>
    <row r="19" spans="1:2" ht="12.75">
      <c r="A19" s="27" t="s">
        <v>97</v>
      </c>
      <c r="B19" s="28">
        <f>B16</f>
        <v>0.27830481560599324</v>
      </c>
    </row>
    <row r="20" spans="7:13" ht="12.75" customHeight="1">
      <c r="G20" s="16" t="s">
        <v>98</v>
      </c>
      <c r="H20" s="16"/>
      <c r="I20" s="16"/>
      <c r="J20" s="16"/>
      <c r="K20" s="16"/>
      <c r="L20" s="16"/>
      <c r="M20" s="16"/>
    </row>
    <row r="21" spans="1:13" ht="12.75" customHeight="1">
      <c r="A21" s="16" t="s">
        <v>99</v>
      </c>
      <c r="B21" s="16"/>
      <c r="G21" s="16"/>
      <c r="H21" s="16"/>
      <c r="I21" s="16"/>
      <c r="J21" s="16"/>
      <c r="K21" s="16"/>
      <c r="L21" s="16"/>
      <c r="M21" s="16"/>
    </row>
    <row r="22" spans="2:12" ht="12.75" customHeight="1">
      <c r="B22" s="18"/>
      <c r="F22" s="14">
        <f>E13/4</f>
        <v>0.125</v>
      </c>
      <c r="G22" s="19" t="s">
        <v>100</v>
      </c>
      <c r="H22" s="20">
        <v>0.781</v>
      </c>
      <c r="I22" s="14" t="s">
        <v>101</v>
      </c>
      <c r="J22" s="30" t="s">
        <v>102</v>
      </c>
      <c r="K22" s="30"/>
      <c r="L22" s="31">
        <f>2*E13-H28</f>
        <v>0.853553395329987</v>
      </c>
    </row>
    <row r="23" spans="1:12" ht="12.75" customHeight="1">
      <c r="A23" s="19" t="s">
        <v>103</v>
      </c>
      <c r="B23" s="18">
        <f>IF(E9=20,27000,IF(E9=22.5,28500,IF(E9=25,30000,IF(E9=27.5,31500,IF(E9=30,32500,IF(E9=35,34500,36000))))))</f>
        <v>32500</v>
      </c>
      <c r="G23" s="19" t="s">
        <v>104</v>
      </c>
      <c r="H23" s="20">
        <v>0.733</v>
      </c>
      <c r="I23" s="14">
        <f>H23/H22</f>
        <v>0.93854033290653</v>
      </c>
      <c r="J23" s="32" t="s">
        <v>105</v>
      </c>
      <c r="K23" s="32"/>
      <c r="L23" s="14">
        <f>2*$B$26-L22</f>
        <v>0.14644660467001303</v>
      </c>
    </row>
    <row r="24" spans="1:12" ht="12.75" customHeight="1">
      <c r="A24" s="19" t="s">
        <v>106</v>
      </c>
      <c r="B24" s="20">
        <v>196000</v>
      </c>
      <c r="G24" s="14" t="s">
        <v>107</v>
      </c>
      <c r="H24" s="14">
        <f>H23/H22+B28</f>
        <v>1.36854033290653</v>
      </c>
      <c r="J24" s="32" t="s">
        <v>108</v>
      </c>
      <c r="K24" s="32"/>
      <c r="L24" s="14">
        <f>2*SQRT(2*L22*$B$26-L22^2)</f>
        <v>0.7071067717131211</v>
      </c>
    </row>
    <row r="25" spans="1:12" ht="12.75" customHeight="1">
      <c r="A25" s="19" t="s">
        <v>109</v>
      </c>
      <c r="B25" s="20">
        <v>10</v>
      </c>
      <c r="G25" s="14" t="s">
        <v>110</v>
      </c>
      <c r="H25" s="14">
        <f>B26+B28</f>
        <v>0.9299999999999999</v>
      </c>
      <c r="J25" s="32" t="s">
        <v>111</v>
      </c>
      <c r="K25" s="32"/>
      <c r="L25" s="14">
        <f>L24^3/(12*L26)</f>
        <v>0.04126159038683265</v>
      </c>
    </row>
    <row r="26" spans="1:12" ht="12.75" customHeight="1">
      <c r="A26" s="19" t="s">
        <v>112</v>
      </c>
      <c r="B26" s="18">
        <f>E13</f>
        <v>0.5</v>
      </c>
      <c r="G26" s="22" t="s">
        <v>113</v>
      </c>
      <c r="H26" s="20">
        <v>90</v>
      </c>
      <c r="I26" s="33" t="s">
        <v>114</v>
      </c>
      <c r="J26" s="32" t="s">
        <v>115</v>
      </c>
      <c r="K26" s="32"/>
      <c r="L26" s="14">
        <f>3.1415926*$B$26^2-H32</f>
        <v>0.7140486125</v>
      </c>
    </row>
    <row r="27" spans="1:12" ht="12.75" customHeight="1">
      <c r="A27" s="14" t="s">
        <v>116</v>
      </c>
      <c r="B27" s="14">
        <f>3.1415926*B26^4/4</f>
        <v>0.049087384375</v>
      </c>
      <c r="G27" s="14" t="s">
        <v>117</v>
      </c>
      <c r="H27" s="14">
        <f>H26*(2*3.1415926)/360</f>
        <v>1.5707963</v>
      </c>
      <c r="I27" s="33"/>
      <c r="J27" s="32" t="s">
        <v>118</v>
      </c>
      <c r="K27" s="32"/>
      <c r="L27" s="14">
        <f>L26*(L25+L22-$B$26)</f>
        <v>0.28191709274530236</v>
      </c>
    </row>
    <row r="28" spans="1:12" ht="12.75" customHeight="1">
      <c r="A28" s="19" t="s">
        <v>119</v>
      </c>
      <c r="B28" s="18">
        <f>E16</f>
        <v>0.43</v>
      </c>
      <c r="G28" s="31" t="s">
        <v>120</v>
      </c>
      <c r="H28" s="31">
        <f>E13*(1-COS(H27/2))</f>
        <v>0.14644660467001303</v>
      </c>
      <c r="I28" s="22">
        <f>IF(ABS(H37-I37)/MIN(ABS(H37),ABS(I37))&lt;=0.01,H28,IF(ABS(L31-M31)/MIN(ABS(L31),ABS(M31))&lt;=0.01,L22,I30))</f>
        <v>0.14644660467001303</v>
      </c>
      <c r="J28" s="32" t="s">
        <v>121</v>
      </c>
      <c r="K28" s="32"/>
      <c r="L28" s="14">
        <f>0.25*L26*$B$26^2-0.0625*($B$26-L23)*L24^3-L26*L25^2+L26*(L25+L22-$B$26)^2</f>
        <v>0.14690495021979877</v>
      </c>
    </row>
    <row r="29" spans="1:12" ht="25.5" customHeight="1">
      <c r="A29" s="19" t="s">
        <v>122</v>
      </c>
      <c r="B29" s="20">
        <v>0.7</v>
      </c>
      <c r="C29" s="33" t="s">
        <v>123</v>
      </c>
      <c r="G29" s="34" t="s">
        <v>124</v>
      </c>
      <c r="H29" s="14">
        <f>H27-SIN(H27)</f>
        <v>0.5707963000000004</v>
      </c>
      <c r="I29" s="14" t="s">
        <v>125</v>
      </c>
      <c r="J29" s="32" t="s">
        <v>126</v>
      </c>
      <c r="K29" s="32"/>
      <c r="L29" s="14">
        <f>L27+$H$16*$F$7*(L22-$B$26)</f>
        <v>0.344395281001041</v>
      </c>
    </row>
    <row r="30" spans="1:13" ht="25.5" customHeight="1">
      <c r="A30" s="19" t="s">
        <v>127</v>
      </c>
      <c r="B30" s="20">
        <v>0.85</v>
      </c>
      <c r="C30" s="33"/>
      <c r="D30" s="19" t="s">
        <v>128</v>
      </c>
      <c r="E30" s="20">
        <v>0.7</v>
      </c>
      <c r="G30" s="14" t="s">
        <v>129</v>
      </c>
      <c r="H30" s="14">
        <f>4*(SIN(H27/2))^3/(3*H29)</f>
        <v>0.8258716845995298</v>
      </c>
      <c r="I30" s="20">
        <v>0.146</v>
      </c>
      <c r="J30" s="35" t="s">
        <v>130</v>
      </c>
      <c r="K30" s="35"/>
      <c r="L30" s="36">
        <f>L28+$H$16*($F$7*$B$28^2/2+$F$7*($B$26-L22)^2)</f>
        <v>0.18533162756168128</v>
      </c>
      <c r="M30" s="36"/>
    </row>
    <row r="31" spans="1:13" ht="12.75" customHeight="1">
      <c r="A31" s="26" t="s">
        <v>131</v>
      </c>
      <c r="B31" s="14">
        <f>1+(B29+E30*B28)/(B30+B8*B28)</f>
        <v>2.0224719101123596</v>
      </c>
      <c r="G31" s="14" t="s">
        <v>111</v>
      </c>
      <c r="H31" s="14">
        <f>H30*$B$26</f>
        <v>0.4129358422997649</v>
      </c>
      <c r="I31" s="37" t="s">
        <v>132</v>
      </c>
      <c r="J31" s="33" t="s">
        <v>133</v>
      </c>
      <c r="K31" s="33"/>
      <c r="L31" s="38">
        <f>L30/L29</f>
        <v>0.5381363734804516</v>
      </c>
      <c r="M31" s="38">
        <f>H24-H25+L22</f>
        <v>1.292093728236517</v>
      </c>
    </row>
    <row r="32" spans="1:12" ht="12.75" customHeight="1">
      <c r="A32" s="14" t="s">
        <v>134</v>
      </c>
      <c r="B32" s="14">
        <f>B30/B8+B25/400</f>
        <v>2.858333333333333</v>
      </c>
      <c r="C32" s="14" t="s">
        <v>135</v>
      </c>
      <c r="D32" s="14">
        <f>B26/4</f>
        <v>0.125</v>
      </c>
      <c r="G32" s="14" t="s">
        <v>115</v>
      </c>
      <c r="H32" s="14">
        <f>$B$26^2*H29/2</f>
        <v>0.07134953750000005</v>
      </c>
      <c r="I32" s="37"/>
      <c r="J32" s="33" t="s">
        <v>136</v>
      </c>
      <c r="K32" s="33"/>
      <c r="L32" s="22">
        <f>IF(ABS(I28-H28)&lt;=0.001,H35,L29)</f>
        <v>0.06671509838265058</v>
      </c>
    </row>
    <row r="33" spans="1:12" ht="12.75" customHeight="1">
      <c r="A33" s="26" t="s">
        <v>137</v>
      </c>
      <c r="B33" s="14">
        <f>0.5-0.01*B25/(2*B26)-0.01*B4</f>
        <v>0.24500000000000002</v>
      </c>
      <c r="G33" s="14" t="s">
        <v>118</v>
      </c>
      <c r="H33" s="14">
        <f>H32*(H31+H28-$B$26)</f>
        <v>0.004236910126911932</v>
      </c>
      <c r="I33" s="37"/>
      <c r="J33" s="30" t="s">
        <v>138</v>
      </c>
      <c r="K33" s="30"/>
      <c r="L33" s="30"/>
    </row>
    <row r="34" spans="1:12" ht="12.75" customHeight="1">
      <c r="A34" s="26" t="s">
        <v>139</v>
      </c>
      <c r="B34" s="14">
        <f>B32/(2*B26)</f>
        <v>2.858333333333333</v>
      </c>
      <c r="G34" s="14" t="s">
        <v>121</v>
      </c>
      <c r="H34" s="14">
        <f>$B$26^4*H29/8*(1+3*H30*($B$26-H28)/$B$26-4*H30^2)+H32*(H31+H28-$B$26)^2</f>
        <v>0.0003572055357839935</v>
      </c>
      <c r="I34" s="37"/>
      <c r="J34" s="35" t="s">
        <v>140</v>
      </c>
      <c r="K34" s="35"/>
      <c r="L34" s="18">
        <f>IF(I28&lt;B26,(H32*(B26-H31)+H16*F7*E13)/(H32+H16*F7),(L26*(E13-L25)+H16*F7*E13)/(L26+H16*F7))</f>
        <v>0.3812293701381594</v>
      </c>
    </row>
    <row r="35" spans="1:12" ht="12.75" customHeight="1">
      <c r="A35" s="19" t="s">
        <v>141</v>
      </c>
      <c r="B35" s="39">
        <f>MAX(B33,B34)</f>
        <v>2.858333333333333</v>
      </c>
      <c r="G35" s="14" t="s">
        <v>126</v>
      </c>
      <c r="H35" s="14">
        <f>H33+$H$16*$F$7*($B$26-H28)</f>
        <v>0.06671509838265058</v>
      </c>
      <c r="I35" s="37"/>
      <c r="J35" s="35" t="s">
        <v>142</v>
      </c>
      <c r="K35" s="35"/>
      <c r="L35" s="18">
        <f>IF(I28&lt;B26,H32+H16*F7,L26+H16*F7)</f>
        <v>0.24806453750000007</v>
      </c>
    </row>
    <row r="36" spans="1:12" ht="12.75" customHeight="1">
      <c r="A36" s="14" t="s">
        <v>143</v>
      </c>
      <c r="B36" s="14">
        <f>(0.11/(0.1+B35)+0.1)</f>
        <v>0.1371830985915493</v>
      </c>
      <c r="G36" s="14" t="s">
        <v>130</v>
      </c>
      <c r="H36" s="14">
        <f>H34+$H$16*($F$7*$B$28^2/2+$F$7*($B$26-H28)^2)</f>
        <v>0.03878388287766651</v>
      </c>
      <c r="I36" s="37"/>
      <c r="J36" s="35" t="s">
        <v>144</v>
      </c>
      <c r="K36" s="35"/>
      <c r="L36" s="18">
        <f>IF(I28&lt;B26,B26^4*H29/8*(1+3*H30*(B26-I28)/B26-4*H30^2)+H32*(B26-L34-H31)^2+H16*(F7*B28^2/2+F7*(B26-L34)^2),0.25*L26*B26^2-0.0625*(B26-L23)*L24^3-L26*L25^2+L26*(B26-L34-L25)^2+H16*(F7*B28^2/2+F7*(B26-L34)^2))</f>
        <v>0.025109834534181107</v>
      </c>
    </row>
    <row r="37" spans="1:12" ht="12.75">
      <c r="A37" s="14" t="s">
        <v>145</v>
      </c>
      <c r="B37" s="14">
        <f>H17*B7*B28^2/2</f>
        <v>0.006568433113846153</v>
      </c>
      <c r="G37" s="22" t="s">
        <v>133</v>
      </c>
      <c r="H37" s="38">
        <f>H36/H35</f>
        <v>0.5813359167248466</v>
      </c>
      <c r="I37" s="22">
        <f>H24-H25+H28</f>
        <v>0.5849869375765431</v>
      </c>
      <c r="J37" s="18"/>
      <c r="K37" s="18"/>
      <c r="L37" s="18"/>
    </row>
    <row r="38" spans="1:13" ht="25.5" customHeight="1">
      <c r="A38" s="40" t="s">
        <v>146</v>
      </c>
      <c r="B38" s="41">
        <f>(6.4*B23/B25^2)*(B27*B36/B31+B37)</f>
        <v>20.58784410373036</v>
      </c>
      <c r="C38" s="14" t="s">
        <v>147</v>
      </c>
      <c r="D38" s="14">
        <f>B8/0.7</f>
        <v>0.4285714285714286</v>
      </c>
      <c r="G38" s="16" t="s">
        <v>148</v>
      </c>
      <c r="H38" s="16"/>
      <c r="I38" s="16"/>
      <c r="J38" s="16"/>
      <c r="K38" s="16"/>
      <c r="L38" s="16"/>
      <c r="M38" s="16"/>
    </row>
    <row r="39" spans="1:2" ht="12.75">
      <c r="A39" s="42" t="s">
        <v>149</v>
      </c>
      <c r="B39" s="14">
        <f>1/(1-B8/B38)</f>
        <v>1.0147871798731358</v>
      </c>
    </row>
    <row r="40" spans="1:8" ht="12.75">
      <c r="A40" s="40" t="s">
        <v>150</v>
      </c>
      <c r="B40" s="22">
        <f>B32*B39*B8</f>
        <v>0.870180006741214</v>
      </c>
      <c r="G40" s="18"/>
      <c r="H40" s="18"/>
    </row>
    <row r="41" spans="7:8" ht="12.75">
      <c r="G41" s="18"/>
      <c r="H41" s="18"/>
    </row>
    <row r="42" spans="1:2" ht="12.75" customHeight="1">
      <c r="A42" s="16" t="s">
        <v>151</v>
      </c>
      <c r="B42" s="16"/>
    </row>
    <row r="43" spans="7:12" ht="38.25">
      <c r="G43" s="26"/>
      <c r="I43" s="43" t="s">
        <v>152</v>
      </c>
      <c r="J43" s="22">
        <f>H22/L32*(H25-I28)*H16</f>
        <v>137.58996462302906</v>
      </c>
      <c r="K43" s="18"/>
      <c r="L43" s="18"/>
    </row>
    <row r="44" spans="1:10" ht="25.5">
      <c r="A44" s="26" t="s">
        <v>153</v>
      </c>
      <c r="B44" s="14">
        <f>1.6*(1-1.55*B19)*B19</f>
        <v>0.25320285040366414</v>
      </c>
      <c r="G44" s="44" t="s">
        <v>154</v>
      </c>
      <c r="H44" s="45">
        <v>1</v>
      </c>
      <c r="I44" s="44"/>
      <c r="J44" s="21"/>
    </row>
    <row r="45" spans="1:13" ht="63.75">
      <c r="A45" s="19" t="s">
        <v>155</v>
      </c>
      <c r="B45" s="44">
        <f>B44</f>
        <v>0.25320285040366414</v>
      </c>
      <c r="C45" s="14" t="s">
        <v>156</v>
      </c>
      <c r="D45" s="14">
        <v>1</v>
      </c>
      <c r="G45" s="14" t="s">
        <v>157</v>
      </c>
      <c r="H45" s="14">
        <f>(B26*100)^2/2*(K45-SIN(K45))</f>
        <v>703.2873193282757</v>
      </c>
      <c r="I45" s="46">
        <f>MIN(3*D7+(B26-B28)*100,2*B26*100-I28*100)</f>
        <v>14.5</v>
      </c>
      <c r="J45" s="46" t="s">
        <v>158</v>
      </c>
      <c r="K45" s="46">
        <f>2*ACOS(1-I45/(B26*100))</f>
        <v>1.5625962348974494</v>
      </c>
      <c r="L45" s="36"/>
      <c r="M45" s="36"/>
    </row>
    <row r="46" spans="1:13" ht="25.5" customHeight="1">
      <c r="A46" s="22" t="s">
        <v>159</v>
      </c>
      <c r="B46" s="22">
        <f>2/3*B4*B5*B26*B17^3/3.1415926+B6*B7*(B17/3.1415926+B45)*B28</f>
        <v>1.464898962419908</v>
      </c>
      <c r="C46" s="14" t="s">
        <v>147</v>
      </c>
      <c r="D46" s="14">
        <f>B40</f>
        <v>0.870180006741214</v>
      </c>
      <c r="G46" s="14" t="s">
        <v>160</v>
      </c>
      <c r="H46" s="14">
        <f>IF(H44=1,H45/D7,H45/(2*D7*H44))</f>
        <v>281.31492773131026</v>
      </c>
      <c r="I46" s="47" t="s">
        <v>161</v>
      </c>
      <c r="J46" s="47"/>
      <c r="K46" s="47"/>
      <c r="L46" s="36"/>
      <c r="M46" s="36"/>
    </row>
    <row r="47" spans="7:8" ht="12.75">
      <c r="G47" s="14" t="s">
        <v>162</v>
      </c>
      <c r="H47" s="14">
        <f>1.5*SQRT(H46)</f>
        <v>25.15866823572838</v>
      </c>
    </row>
    <row r="48" spans="7:13" ht="64.5" customHeight="1">
      <c r="G48" s="33" t="s">
        <v>163</v>
      </c>
      <c r="H48" s="33"/>
      <c r="I48" s="33"/>
      <c r="J48" s="22">
        <f>H47*J43/B24</f>
        <v>0.017661123839369353</v>
      </c>
      <c r="K48" s="18"/>
      <c r="L48" s="18"/>
      <c r="M48" s="18"/>
    </row>
  </sheetData>
  <sheetProtection password="CF66" sheet="1"/>
  <mergeCells count="28">
    <mergeCell ref="A1:M1"/>
    <mergeCell ref="A2:B2"/>
    <mergeCell ref="D2:E2"/>
    <mergeCell ref="G13:M13"/>
    <mergeCell ref="G20:M21"/>
    <mergeCell ref="A21:B21"/>
    <mergeCell ref="J22:K22"/>
    <mergeCell ref="J23:K23"/>
    <mergeCell ref="J24:K24"/>
    <mergeCell ref="J25:K25"/>
    <mergeCell ref="I26:I27"/>
    <mergeCell ref="J26:K26"/>
    <mergeCell ref="J27:K27"/>
    <mergeCell ref="J28:K28"/>
    <mergeCell ref="C29:C30"/>
    <mergeCell ref="J29:K29"/>
    <mergeCell ref="J30:K30"/>
    <mergeCell ref="I31:I36"/>
    <mergeCell ref="J31:K31"/>
    <mergeCell ref="J32:K32"/>
    <mergeCell ref="J33:L33"/>
    <mergeCell ref="J34:K34"/>
    <mergeCell ref="J35:K35"/>
    <mergeCell ref="J36:K36"/>
    <mergeCell ref="G38:M38"/>
    <mergeCell ref="A42:B42"/>
    <mergeCell ref="I46:K46"/>
    <mergeCell ref="G48:I48"/>
  </mergeCells>
  <printOptions/>
  <pageMargins left="0.7875" right="0.6298611111111111" top="0.8604166666666666" bottom="1.020138888888889" header="0.3701388888888889" footer="0.5118055555555555"/>
  <pageSetup horizontalDpi="300" verticalDpi="300" orientation="landscape" paperSize="9" scale="52"/>
  <headerFooter alignWithMargins="0">
    <oddHeader>&amp;LСтраница &amp;P из &amp;N</oddHeader>
  </headerFooter>
  <rowBreaks count="1" manualBreakCount="1">
    <brk id="48" max="255" man="1"/>
  </rowBreaks>
  <colBreaks count="1" manualBreakCount="1">
    <brk id="13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="90" zoomScaleNormal="90" workbookViewId="0" topLeftCell="A1">
      <selection activeCell="I11" sqref="I11"/>
    </sheetView>
  </sheetViews>
  <sheetFormatPr defaultColWidth="9.140625" defaultRowHeight="12.75"/>
  <cols>
    <col min="1" max="1" width="27.28125" style="14" customWidth="1"/>
    <col min="2" max="2" width="9.140625" style="14" customWidth="1"/>
    <col min="3" max="3" width="18.140625" style="14" customWidth="1"/>
    <col min="4" max="4" width="11.57421875" style="14" customWidth="1"/>
    <col min="5" max="5" width="18.140625" style="14" customWidth="1"/>
    <col min="6" max="6" width="13.8515625" style="14" customWidth="1"/>
    <col min="7" max="7" width="11.57421875" style="14" customWidth="1"/>
    <col min="8" max="8" width="13.00390625" style="14" customWidth="1"/>
    <col min="9" max="9" width="12.140625" style="14" customWidth="1"/>
    <col min="10" max="10" width="11.57421875" style="14" customWidth="1"/>
    <col min="11" max="11" width="12.28125" style="14" customWidth="1"/>
    <col min="12" max="17" width="11.57421875" style="14" customWidth="1"/>
    <col min="18" max="16384" width="9.140625" style="14" customWidth="1"/>
  </cols>
  <sheetData>
    <row r="1" spans="1:12" ht="12.75" customHeight="1">
      <c r="A1" s="30" t="s">
        <v>164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24" spans="1:12" ht="12.75" customHeight="1">
      <c r="A24" s="48" t="s">
        <v>165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2" ht="12.75">
      <c r="A25" s="19" t="s">
        <v>166</v>
      </c>
      <c r="B25" s="20">
        <v>0.5</v>
      </c>
    </row>
    <row r="26" spans="1:2" ht="12.75">
      <c r="A26" s="19" t="s">
        <v>167</v>
      </c>
      <c r="B26" s="20">
        <v>2</v>
      </c>
    </row>
    <row r="27" spans="1:2" ht="12.75">
      <c r="A27" s="19" t="s">
        <v>9</v>
      </c>
      <c r="B27" s="20">
        <v>30</v>
      </c>
    </row>
    <row r="28" spans="1:12" ht="12.75">
      <c r="A28" s="19" t="s">
        <v>168</v>
      </c>
      <c r="B28" s="20">
        <v>22</v>
      </c>
      <c r="C28" s="19" t="s">
        <v>169</v>
      </c>
      <c r="D28" s="20">
        <v>40</v>
      </c>
      <c r="E28" s="19" t="s">
        <v>170</v>
      </c>
      <c r="F28" s="20">
        <v>5</v>
      </c>
      <c r="G28" s="19" t="s">
        <v>171</v>
      </c>
      <c r="H28" s="20">
        <v>1</v>
      </c>
      <c r="I28" s="49" t="s">
        <v>172</v>
      </c>
      <c r="J28" s="14">
        <f>D28+H28*(B28+2)/2</f>
        <v>52</v>
      </c>
      <c r="K28" s="49" t="s">
        <v>173</v>
      </c>
      <c r="L28" s="14">
        <f>3.1416*(B28/1000)^2/4*F28</f>
        <v>0.0019006679999999997</v>
      </c>
    </row>
    <row r="29" spans="1:12" ht="12.75">
      <c r="A29" s="19" t="s">
        <v>174</v>
      </c>
      <c r="B29" s="20">
        <v>22</v>
      </c>
      <c r="C29" s="19" t="s">
        <v>169</v>
      </c>
      <c r="D29" s="20">
        <v>40</v>
      </c>
      <c r="E29" s="19" t="s">
        <v>170</v>
      </c>
      <c r="F29" s="20">
        <v>2</v>
      </c>
      <c r="G29" s="19" t="s">
        <v>171</v>
      </c>
      <c r="H29" s="20">
        <v>1</v>
      </c>
      <c r="I29" s="49" t="s">
        <v>175</v>
      </c>
      <c r="J29" s="14">
        <f>D29+H29*(B29+2)/2</f>
        <v>52</v>
      </c>
      <c r="K29" s="49" t="s">
        <v>176</v>
      </c>
      <c r="L29" s="14">
        <f>3.1416*(B29/1000)^2/4*F29</f>
        <v>0.0007602671999999999</v>
      </c>
    </row>
    <row r="30" spans="1:6" ht="12.75">
      <c r="A30" s="19" t="s">
        <v>73</v>
      </c>
      <c r="B30" s="20">
        <v>350</v>
      </c>
      <c r="C30" s="19" t="s">
        <v>177</v>
      </c>
      <c r="D30" s="20">
        <v>350</v>
      </c>
      <c r="E30" s="14" t="s">
        <v>103</v>
      </c>
      <c r="F30" s="21">
        <f>IF(B27=20,27000,IF(B27=22.5,28500,IF(B27=25,30000,IF(B27=27.5,31500,IF(B27=30,32500,IF(B27=35,34500,36000))))))</f>
        <v>32500</v>
      </c>
    </row>
    <row r="31" spans="1:6" ht="12.75">
      <c r="A31" s="14" t="s">
        <v>178</v>
      </c>
      <c r="B31" s="21">
        <f>IF(B27=20,10.5,IF(B27=22.5,11.75,IF(B27=25,13,IF(B27=27.5,14.3,IF(B27=30,15.5,IF(B27=35,17.5,20))))))</f>
        <v>15.5</v>
      </c>
      <c r="C31" s="14" t="s">
        <v>179</v>
      </c>
      <c r="D31" s="21">
        <f>IF(B27=20,15,IF(B27=22.5,16.8,IF(B27=25,18.5,IF(B27=27.5,20.5,IF(B27=30,22,IF(B27=35,25.5,29))))))</f>
        <v>22</v>
      </c>
      <c r="E31" s="19" t="s">
        <v>106</v>
      </c>
      <c r="F31" s="20">
        <v>196000</v>
      </c>
    </row>
    <row r="33" spans="1:12" ht="12.75" customHeight="1">
      <c r="A33" s="48" t="s">
        <v>180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2" ht="12.75">
      <c r="A34" s="19" t="s">
        <v>181</v>
      </c>
      <c r="B34" s="20">
        <v>124.8</v>
      </c>
    </row>
    <row r="35" spans="1:2" ht="12.75">
      <c r="A35" s="19" t="s">
        <v>182</v>
      </c>
      <c r="B35" s="20">
        <v>106.54</v>
      </c>
    </row>
    <row r="36" spans="1:8" ht="12.75">
      <c r="A36" s="19" t="s">
        <v>183</v>
      </c>
      <c r="B36" s="20">
        <v>168.63</v>
      </c>
      <c r="C36" s="14" t="s">
        <v>184</v>
      </c>
      <c r="D36" s="14">
        <f>(B34+B30*101.97*L28)/(B31*101.97*B25)</f>
        <v>0.24375782957795933</v>
      </c>
      <c r="E36" s="14" t="s">
        <v>185</v>
      </c>
      <c r="F36" s="14">
        <f>B34/(B31*101.97*B25)</f>
        <v>0.15792121022312064</v>
      </c>
      <c r="G36" s="14" t="s">
        <v>186</v>
      </c>
      <c r="H36" s="14">
        <f>IF(F36*1000&gt;2*J28,F36,IF(D36*1000&lt;2*J28,D36,"расчет по ф.73 стр.51"))</f>
        <v>0.15792121022312064</v>
      </c>
    </row>
    <row r="37" spans="1:10" ht="12.75">
      <c r="A37" s="19" t="s">
        <v>187</v>
      </c>
      <c r="B37" s="20">
        <v>146.65</v>
      </c>
      <c r="C37" s="49"/>
      <c r="I37" s="43" t="s">
        <v>188</v>
      </c>
      <c r="J37" s="22">
        <f>1/(1-B34/J38)</f>
        <v>1.0054894539501706</v>
      </c>
    </row>
    <row r="38" spans="1:12" ht="39" customHeight="1">
      <c r="A38" s="19" t="s">
        <v>189</v>
      </c>
      <c r="B38" s="20">
        <v>7.5</v>
      </c>
      <c r="C38" s="32"/>
      <c r="D38" s="32"/>
      <c r="E38" s="49" t="s">
        <v>190</v>
      </c>
      <c r="F38" s="14">
        <f>B36/B34+B38/400</f>
        <v>1.369951923076923</v>
      </c>
      <c r="G38" s="26" t="s">
        <v>191</v>
      </c>
      <c r="H38" s="14">
        <f>MAX(F38/B26,0.5-0.01*B38/B26-0.01*B31)</f>
        <v>0.6849759615384615</v>
      </c>
      <c r="I38" s="22" t="s">
        <v>192</v>
      </c>
      <c r="J38" s="22">
        <f>(6.4*F30*101.97/B38^2)*(B25*B26^3/12/2*(0.11/(0.1+H38)+0.1)+F31/F30*2*L28*(B26/2-J28/1000)^2)</f>
        <v>22859.30167044728</v>
      </c>
      <c r="K38" s="22" t="str">
        <f>IF(0.7*J38&gt;B34,"N&lt;0.7Ncr= условие выполняется","N&gt;0.7Ncr= условие не выполняется")</f>
        <v>N&lt;0.7Ncr= условие выполняется</v>
      </c>
      <c r="L38" s="22">
        <f>0.7*J38</f>
        <v>16001.511169313097</v>
      </c>
    </row>
    <row r="39" spans="1:8" ht="12.75">
      <c r="A39" s="19" t="s">
        <v>193</v>
      </c>
      <c r="B39" s="20">
        <v>2.1</v>
      </c>
      <c r="C39" s="14" t="s">
        <v>184</v>
      </c>
      <c r="D39" s="14">
        <f>(B34+B30*101.97*L29)/(B31*101.97*B26)</f>
        <v>0.04806396449126403</v>
      </c>
      <c r="E39" s="14" t="s">
        <v>185</v>
      </c>
      <c r="F39" s="14">
        <f>B34/(B31*101.97*B26)</f>
        <v>0.03948030255578016</v>
      </c>
      <c r="G39" s="14" t="s">
        <v>186</v>
      </c>
      <c r="H39" s="14">
        <f>IF(F39*1000&gt;2*J29,F39,IF(D39*1000&lt;2*J29,D39,"расчет по ф.73 стр.51"))</f>
        <v>0.04806396449126403</v>
      </c>
    </row>
    <row r="40" spans="1:10" ht="12.75">
      <c r="A40" s="19" t="s">
        <v>194</v>
      </c>
      <c r="B40" s="20">
        <v>1.67</v>
      </c>
      <c r="I40" s="43" t="s">
        <v>195</v>
      </c>
      <c r="J40" s="22">
        <f>1/(1-B34/J41)</f>
        <v>1.0668056332167621</v>
      </c>
    </row>
    <row r="41" spans="1:12" ht="37.5" customHeight="1">
      <c r="A41" s="19" t="s">
        <v>196</v>
      </c>
      <c r="B41" s="20">
        <v>7.5</v>
      </c>
      <c r="C41" s="32"/>
      <c r="D41" s="32"/>
      <c r="E41" s="49" t="s">
        <v>197</v>
      </c>
      <c r="F41" s="14">
        <f>B39/B34+B41/400</f>
        <v>0.035576923076923075</v>
      </c>
      <c r="G41" s="26" t="s">
        <v>198</v>
      </c>
      <c r="H41" s="14">
        <f>MAX(F41/B25,0.5-0.01*B41/B25-0.01*B31)</f>
        <v>0.19499999999999998</v>
      </c>
      <c r="I41" s="22" t="s">
        <v>199</v>
      </c>
      <c r="J41" s="22">
        <f>(6.4*F30*101.97/B41^2)*(B25^3*B26/12/2*(0.11/(0.1+H41)+0.1)+F31/F30*2*L29*(B25/2-J29/1000)^2)</f>
        <v>1992.9059364419968</v>
      </c>
      <c r="K41" s="22" t="str">
        <f>IF(0.7*J41&gt;B34,"N&lt;0.7Ncr= условие выполняется","N&gt;0.7Ncr= условие не выполняется")</f>
        <v>N&lt;0.7Ncr= условие выполняется</v>
      </c>
      <c r="L41" s="22">
        <f>0.7*J41</f>
        <v>1395.0341555093978</v>
      </c>
    </row>
    <row r="43" spans="1:12" ht="12.75" customHeight="1">
      <c r="A43" s="48" t="s">
        <v>200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8" ht="38.25" customHeight="1">
      <c r="A44" s="50" t="s">
        <v>201</v>
      </c>
      <c r="B44" s="32" t="s">
        <v>202</v>
      </c>
      <c r="C44" s="32"/>
      <c r="D44" s="28" t="s">
        <v>203</v>
      </c>
      <c r="E44" s="28" t="str">
        <f>IF(OR(H36=F36,H36=D36),"расчет вести по формуле 70",B34*(B36/B34+B26/2-J28/1000+F38*(J37-1)))</f>
        <v>расчет вести по формуле 70</v>
      </c>
      <c r="F44" s="28" t="s">
        <v>204</v>
      </c>
      <c r="G44" s="28">
        <f>(B34+B30*101.97*L28)*(B26-2*J28/1000)</f>
        <v>365.23385655105596</v>
      </c>
      <c r="H44" s="28" t="str">
        <f>IF(OR(H36=F36,H36=D36),"расчет вести по формуле 70",IF(G44&gt;E44,"условие прочности выполнено","условие прочности не выполнено"))</f>
        <v>расчет вести по формуле 70</v>
      </c>
    </row>
    <row r="45" spans="1:8" ht="12.75">
      <c r="A45" s="50"/>
      <c r="B45" s="32"/>
      <c r="C45" s="32"/>
      <c r="D45" s="28" t="s">
        <v>205</v>
      </c>
      <c r="E45" s="28" t="str">
        <f>IF(OR(H39=F39,H39=D39),"расчет вести по формуле 70",B34*(B39/B34+B25/2-J29/1000+F41*(J40-1)))</f>
        <v>расчет вести по формуле 70</v>
      </c>
      <c r="F45" s="28" t="s">
        <v>206</v>
      </c>
      <c r="G45" s="28">
        <f>(B34+B30*101.97*L29)*(B25-2*J29/1000)</f>
        <v>60.1656882688224</v>
      </c>
      <c r="H45" s="28" t="str">
        <f>IF(OR(H39=F39,H39=D39),"расчет вести по формуле 70",IF(G45&gt;E45,"условие прочности выполнено","условие прочности не выполнено"))</f>
        <v>расчет вести по формуле 70</v>
      </c>
    </row>
    <row r="46" spans="1:8" ht="38.25" customHeight="1">
      <c r="A46" s="33" t="s">
        <v>207</v>
      </c>
      <c r="B46" s="32" t="s">
        <v>208</v>
      </c>
      <c r="C46" s="32"/>
      <c r="D46" s="22" t="s">
        <v>203</v>
      </c>
      <c r="E46" s="22">
        <f>B34*(B36/B34+B26/2-J28/1000+F38*(J37-1))</f>
        <v>287.8789319418606</v>
      </c>
      <c r="F46" s="22" t="s">
        <v>209</v>
      </c>
      <c r="G46" s="22">
        <f>IF(OR(H36=F36,H36=D36),(B31*101.97*B25*H36*(B26-J28/1000-0.5*H36)+D30*101.97*L28*(B26-2*J28/1000)),"расчет вести по формуле 73")</f>
        <v>361.8691730331332</v>
      </c>
      <c r="H46" s="22" t="str">
        <f>IF(OR(H36=F36,H36=D36),IF(G46&gt;E46,"условие прочности выполнено","условие прочности не выполнено"),"расчет вести по формуле 73")</f>
        <v>условие прочности выполнено</v>
      </c>
    </row>
    <row r="47" spans="1:8" ht="37.5" customHeight="1">
      <c r="A47" s="33"/>
      <c r="B47" s="32"/>
      <c r="C47" s="32"/>
      <c r="D47" s="22" t="s">
        <v>205</v>
      </c>
      <c r="E47" s="22">
        <f>B34*(B39/B34+B25/2-J29/1000+F41*(J40-1))</f>
        <v>27.107017011482423</v>
      </c>
      <c r="F47" s="22" t="s">
        <v>210</v>
      </c>
      <c r="G47" s="22">
        <f>IF(OR(H39=F39,H39=D39),(B31*101.97*B26*H39*(B25-J29/1000-0.5*H39)+D30*101.97*L29*(B25-2*J29/1000)),"расчет вести по формуле 73")</f>
        <v>75.15985693589275</v>
      </c>
      <c r="H47" s="22" t="str">
        <f>IF(OR(H39=F39,H39=D39),IF(G47&gt;E47,"условие прочности выполнено","условие прочности не выполнено"),"расчет вести по формуле 73")</f>
        <v>условие прочности выполнено</v>
      </c>
    </row>
    <row r="48" spans="1:9" ht="63.75" customHeight="1">
      <c r="A48" s="28" t="s">
        <v>211</v>
      </c>
      <c r="B48" s="32" t="s">
        <v>212</v>
      </c>
      <c r="C48" s="32"/>
      <c r="D48" s="14" t="s">
        <v>213</v>
      </c>
      <c r="E48" s="28">
        <f>G48*101.97*(B31*B25*B26+D30*L29)</f>
        <v>900.2943914912642</v>
      </c>
      <c r="F48" s="19" t="s">
        <v>214</v>
      </c>
      <c r="G48" s="20">
        <v>0.56</v>
      </c>
      <c r="H48" s="51" t="str">
        <f>IF(E48&gt;B34,"устойчивость и прочность из плоскости изгиба обеспечена","устойчивость не обеспечена")</f>
        <v>устойчивость и прочность из плоскости изгиба обеспечена</v>
      </c>
      <c r="I48" s="51"/>
    </row>
    <row r="49" spans="1:17" ht="51" customHeight="1">
      <c r="A49" s="33" t="s">
        <v>215</v>
      </c>
      <c r="B49" s="32" t="s">
        <v>216</v>
      </c>
      <c r="C49" s="32"/>
      <c r="D49" s="22" t="s">
        <v>217</v>
      </c>
      <c r="E49" s="22">
        <f>B35/101.97/F50+B37/101.97*H50/J50</f>
        <v>10.647177340564294</v>
      </c>
      <c r="F49" s="22" t="s">
        <v>218</v>
      </c>
      <c r="G49" s="22">
        <f>B35/101.97/F51+B40/101.97*H51/J51</f>
        <v>0.4001658785265132</v>
      </c>
      <c r="H49" s="22" t="s">
        <v>219</v>
      </c>
      <c r="I49" s="22">
        <f>IF(B27=20,8.8,IF(B27=22.5,10.3,IF(B27=25,11.8,IF(B27=27.5,13.2,IF(B27=30,14.6,IF(B27=35,16.7,19.6))))))</f>
        <v>14.6</v>
      </c>
      <c r="J49" s="22" t="str">
        <f>IF(AND(E49&lt;I49,G49&lt;I49),"продольные трещины не образуются","продольные трещины образуются")</f>
        <v>продольные трещины не образуются</v>
      </c>
      <c r="M49" s="33" t="s">
        <v>220</v>
      </c>
      <c r="N49" s="33"/>
      <c r="O49" s="33"/>
      <c r="P49" s="33"/>
      <c r="Q49" s="33"/>
    </row>
    <row r="50" spans="1:17" ht="27.75" customHeight="1">
      <c r="A50" s="33"/>
      <c r="B50" s="32" t="s">
        <v>221</v>
      </c>
      <c r="C50" s="32"/>
      <c r="D50" s="21">
        <f>IF(B27=20,22.5,IF(B27=22.5,20,IF(B27=25,20,IF(B27=27.5,17,IF(B27=30,15,IF(B27=35,15,10))))))</f>
        <v>15</v>
      </c>
      <c r="E50" s="14" t="s">
        <v>222</v>
      </c>
      <c r="F50" s="14">
        <f>B25*P53+D50*2*L28</f>
        <v>0.2579830704662214</v>
      </c>
      <c r="G50" s="14" t="s">
        <v>223</v>
      </c>
      <c r="H50" s="14">
        <f>(B25*P53^2/2+D50*2*L28*B26/2)/F50</f>
        <v>0.3775681072333045</v>
      </c>
      <c r="I50" s="14" t="s">
        <v>224</v>
      </c>
      <c r="J50" s="14">
        <f>B25*P53^3/12+B25*P53*(H50-P53/2)^2+2*D50*L28*((B26/2-J28/1000)^2+(B26/2-H50)^2)</f>
        <v>0.0823082058326715</v>
      </c>
      <c r="M50" s="52" t="s">
        <v>225</v>
      </c>
      <c r="N50" s="52" t="s">
        <v>226</v>
      </c>
      <c r="O50" s="52" t="s">
        <v>227</v>
      </c>
      <c r="P50" s="52" t="s">
        <v>228</v>
      </c>
      <c r="Q50" s="52" t="s">
        <v>229</v>
      </c>
    </row>
    <row r="51" spans="1:17" ht="12.75">
      <c r="A51" s="33"/>
      <c r="E51" s="14" t="s">
        <v>230</v>
      </c>
      <c r="F51" s="14">
        <f>B26*Q53+2*D50*L29</f>
        <v>2.787040231395853</v>
      </c>
      <c r="G51" s="14" t="s">
        <v>231</v>
      </c>
      <c r="H51" s="14">
        <f>(B26*Q53^2/2+D50*2*L29*B25/2)/F51</f>
        <v>0.6874486121782638</v>
      </c>
      <c r="I51" s="14" t="s">
        <v>232</v>
      </c>
      <c r="J51" s="14">
        <f>B26*Q53^3/12+B26*Q53*(H51-Q53/2)^2+2*D50*L29*((B25/2-J29/1000)^2+(B25/2-H51)^2)</f>
        <v>0.4453247984814219</v>
      </c>
      <c r="M51" s="28">
        <f>2*D50*L28/(B25*(B26-J28/1000))</f>
        <v>0.05854213552361395</v>
      </c>
      <c r="N51" s="28">
        <f>2*D50*L29/(B26*(B25-J29/1000))</f>
        <v>0.025455374999999995</v>
      </c>
      <c r="O51" s="28">
        <f>B25*B26+2*L28*D50</f>
        <v>1.05702004</v>
      </c>
      <c r="P51" s="28">
        <f>B25*B26^3/12+2*D50*L28*(B26/2-J28/1000)^2</f>
        <v>0.3845774713614933</v>
      </c>
      <c r="Q51" s="28">
        <f>B26*B25^3/12+2*D50*L29*(B25/2-J29/1000)^2</f>
        <v>0.021727498792597333</v>
      </c>
    </row>
    <row r="52" spans="1:17" ht="12.75" customHeight="1">
      <c r="A52" s="50" t="s">
        <v>233</v>
      </c>
      <c r="B52" s="14" t="s">
        <v>234</v>
      </c>
      <c r="C52" s="14">
        <f>MIN(B25*(D28/1000+(H28-0.5)*(B28+2)/1000+6*B28/1000)*100*100,B25*(B26-P53)*100*100)</f>
        <v>919.9999999999999</v>
      </c>
      <c r="D52" s="27" t="s">
        <v>235</v>
      </c>
      <c r="E52" s="20">
        <v>1</v>
      </c>
      <c r="F52" s="14" t="s">
        <v>236</v>
      </c>
      <c r="G52" s="14">
        <f>C52/(E52*F28*B28/10)</f>
        <v>83.63636363636363</v>
      </c>
      <c r="H52" s="53" t="s">
        <v>237</v>
      </c>
      <c r="I52" s="28">
        <f>B35/101.97*(B37/B35+B26/2-J28/1000-0.7*(B26-J28/1000))/(0.7*(B26-J28/1000)*L28)</f>
        <v>387.3605702252133</v>
      </c>
      <c r="J52" s="53" t="s">
        <v>238</v>
      </c>
      <c r="K52" s="28">
        <f>I52/F31*1.5*SQRT(G52)</f>
        <v>0.027111164379412717</v>
      </c>
      <c r="M52" s="52" t="s">
        <v>239</v>
      </c>
      <c r="N52" s="52" t="s">
        <v>240</v>
      </c>
      <c r="O52" s="52" t="s">
        <v>241</v>
      </c>
      <c r="P52" s="54" t="s">
        <v>242</v>
      </c>
      <c r="Q52" s="54" t="s">
        <v>243</v>
      </c>
    </row>
    <row r="53" spans="1:17" ht="12.75">
      <c r="A53" s="50"/>
      <c r="B53" s="14" t="s">
        <v>244</v>
      </c>
      <c r="C53" s="14">
        <f>MIN(B26*(D29/1000+(H29-0.5)*(B29+2)/1000+6*B29/1000)*100*100,B26*(B25-Q53)*100*100)</f>
        <v>-17642.32215395853</v>
      </c>
      <c r="D53" s="27" t="s">
        <v>245</v>
      </c>
      <c r="E53" s="20">
        <v>1</v>
      </c>
      <c r="F53" s="14" t="s">
        <v>246</v>
      </c>
      <c r="G53" s="14">
        <f>C53/(E53*F29*B29/10)</f>
        <v>-4009.6186713542106</v>
      </c>
      <c r="H53" s="53" t="s">
        <v>247</v>
      </c>
      <c r="I53" s="28">
        <f>B35/101.97*(B40/B35+B25/2-J29/1000-0.7*(B25-J29/1000))/(0.7*(B25-J29/1000)*L29)</f>
        <v>-437.89774962199897</v>
      </c>
      <c r="J53" s="53" t="s">
        <v>248</v>
      </c>
      <c r="K53" s="28" t="e">
        <f>I53/F31*1.5*SQRT(G53)</f>
        <v>#VALUE!</v>
      </c>
      <c r="M53" s="28">
        <f>(B26-J28/1000)*SQRT(M51^2+J28/1000/(B26-J28/1000)*M51)</f>
        <v>0.13760531968788994</v>
      </c>
      <c r="N53" s="28">
        <f>(B25-J29/1000)*SQRT(N51^2+J29/1000/(B25-J29/1000)*N51)</f>
        <v>0.02688977155842094</v>
      </c>
      <c r="O53" s="28">
        <f>B25*B26+2*L29*D50</f>
        <v>1.022808016</v>
      </c>
      <c r="P53" s="22">
        <f>M53+P51/O51*B35/B37</f>
        <v>0.40192606093244276</v>
      </c>
      <c r="Q53" s="22">
        <f>N53+Q51/O53*B35/B40</f>
        <v>1.3821161076979265</v>
      </c>
    </row>
  </sheetData>
  <sheetProtection password="CF66" sheet="1"/>
  <mergeCells count="17">
    <mergeCell ref="A1:L2"/>
    <mergeCell ref="A24:L24"/>
    <mergeCell ref="A33:L33"/>
    <mergeCell ref="C38:D38"/>
    <mergeCell ref="C41:D41"/>
    <mergeCell ref="A43:L43"/>
    <mergeCell ref="A44:A45"/>
    <mergeCell ref="B44:C45"/>
    <mergeCell ref="A46:A47"/>
    <mergeCell ref="B46:C47"/>
    <mergeCell ref="B48:C48"/>
    <mergeCell ref="H48:I48"/>
    <mergeCell ref="A49:A51"/>
    <mergeCell ref="B49:C49"/>
    <mergeCell ref="M49:Q49"/>
    <mergeCell ref="B50:C50"/>
    <mergeCell ref="A52:A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3"/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2011-10-03T05:22:40Z</cp:lastPrinted>
  <dcterms:created xsi:type="dcterms:W3CDTF">1996-10-08T23:32:33Z</dcterms:created>
  <dcterms:modified xsi:type="dcterms:W3CDTF">2011-10-10T06:25:29Z</dcterms:modified>
  <cp:category/>
  <cp:version/>
  <cp:contentType/>
  <cp:contentStatus/>
  <cp:revision>3</cp:revision>
</cp:coreProperties>
</file>